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ruger\Dropbox\JATALOCK\01_JATALOCK\08_Eksternparter\Trap Rose &amp; Ekblad ING\05_Dokumenter -produkt\Rev beregner med fane farver af JE\"/>
    </mc:Choice>
  </mc:AlternateContent>
  <xr:revisionPtr revIDLastSave="0" documentId="13_ncr:1_{A9FFCBED-D34A-42EA-9BF7-B5DFBA955AC0}" xr6:coauthVersionLast="47" xr6:coauthVersionMax="47" xr10:uidLastSave="{00000000-0000-0000-0000-000000000000}"/>
  <bookViews>
    <workbookView xWindow="-120" yWindow="-120" windowWidth="29040" windowHeight="15720" xr2:uid="{2646C300-7C7F-468B-A272-975F4CC5F602}"/>
  </bookViews>
  <sheets>
    <sheet name="CO2 Beregner" sheetId="11" r:id="rId1"/>
    <sheet name="Oversigt" sheetId="1" r:id="rId2"/>
    <sheet name="Luftfugtighed" sheetId="2" r:id="rId3"/>
    <sheet name="Vindhastighed" sheetId="3" r:id="rId4"/>
    <sheet name="Temperaturer" sheetId="5" r:id="rId5"/>
    <sheet name="Egenskaber" sheetId="7" r:id="rId6"/>
    <sheet name="Kendt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  <c r="M69" i="1"/>
  <c r="M70" i="1"/>
  <c r="O12" i="1"/>
  <c r="O17" i="1"/>
  <c r="F23" i="6"/>
  <c r="F20" i="6"/>
  <c r="C20" i="6"/>
  <c r="C23" i="6" s="1"/>
  <c r="O14" i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F5" i="2"/>
  <c r="F4" i="2"/>
  <c r="F6" i="2"/>
  <c r="H6" i="2" s="1"/>
  <c r="F5" i="5"/>
  <c r="H5" i="5" s="1"/>
  <c r="H4" i="7"/>
  <c r="O16" i="1"/>
  <c r="O10" i="1"/>
  <c r="O24" i="1" s="1"/>
  <c r="G39" i="1" s="1"/>
  <c r="D22" i="7"/>
  <c r="D23" i="7"/>
  <c r="D24" i="7"/>
  <c r="D25" i="7"/>
  <c r="D26" i="7"/>
  <c r="D27" i="7"/>
  <c r="D28" i="7"/>
  <c r="D29" i="7"/>
  <c r="D30" i="7"/>
  <c r="D31" i="7"/>
  <c r="D32" i="7"/>
  <c r="D21" i="7"/>
  <c r="H15" i="7"/>
  <c r="H14" i="7"/>
  <c r="H13" i="7"/>
  <c r="H12" i="7"/>
  <c r="H11" i="7"/>
  <c r="H10" i="7"/>
  <c r="H9" i="7"/>
  <c r="H8" i="7"/>
  <c r="H7" i="7"/>
  <c r="H6" i="7"/>
  <c r="H5" i="7"/>
  <c r="F5" i="3"/>
  <c r="F6" i="3"/>
  <c r="F7" i="3"/>
  <c r="F8" i="3"/>
  <c r="F9" i="3"/>
  <c r="F10" i="3"/>
  <c r="F11" i="3"/>
  <c r="F12" i="3"/>
  <c r="F13" i="3"/>
  <c r="F14" i="3"/>
  <c r="F15" i="3"/>
  <c r="F4" i="3"/>
  <c r="F15" i="5"/>
  <c r="H15" i="5" s="1"/>
  <c r="F14" i="5"/>
  <c r="H14" i="5" s="1"/>
  <c r="F13" i="5"/>
  <c r="H13" i="5" s="1"/>
  <c r="F12" i="5"/>
  <c r="H12" i="5" s="1"/>
  <c r="F11" i="5"/>
  <c r="H11" i="5" s="1"/>
  <c r="F10" i="5"/>
  <c r="H10" i="5" s="1"/>
  <c r="F9" i="5"/>
  <c r="H9" i="5" s="1"/>
  <c r="F8" i="5"/>
  <c r="H8" i="5" s="1"/>
  <c r="F7" i="5"/>
  <c r="H7" i="5" s="1"/>
  <c r="F6" i="5"/>
  <c r="H6" i="5" s="1"/>
  <c r="F4" i="5"/>
  <c r="K4" i="5" s="1"/>
  <c r="O25" i="1" l="1"/>
  <c r="G40" i="1" s="1"/>
  <c r="O33" i="1"/>
  <c r="G49" i="1" s="1"/>
  <c r="O26" i="1"/>
  <c r="O34" i="1"/>
  <c r="G50" i="1" s="1"/>
  <c r="O32" i="1"/>
  <c r="G48" i="1" s="1"/>
  <c r="O35" i="1"/>
  <c r="O28" i="1"/>
  <c r="G44" i="1" s="1"/>
  <c r="O29" i="1"/>
  <c r="G45" i="1" s="1"/>
  <c r="O27" i="1"/>
  <c r="G43" i="1" s="1"/>
  <c r="O30" i="1"/>
  <c r="G46" i="1" s="1"/>
  <c r="O31" i="1"/>
  <c r="G47" i="1" s="1"/>
  <c r="H4" i="5"/>
  <c r="H5" i="2"/>
  <c r="C6" i="1" s="1"/>
  <c r="C25" i="1" s="1"/>
  <c r="H4" i="2"/>
  <c r="C11" i="1"/>
  <c r="C30" i="1" s="1"/>
  <c r="C9" i="1"/>
  <c r="C28" i="1" s="1"/>
  <c r="C10" i="1"/>
  <c r="C29" i="1" s="1"/>
  <c r="C16" i="1"/>
  <c r="C35" i="1" s="1"/>
  <c r="C12" i="1"/>
  <c r="C31" i="1" s="1"/>
  <c r="C13" i="1"/>
  <c r="C32" i="1" s="1"/>
  <c r="C14" i="1"/>
  <c r="C33" i="1" s="1"/>
  <c r="C7" i="1"/>
  <c r="C26" i="1" s="1"/>
  <c r="C15" i="1"/>
  <c r="C34" i="1" s="1"/>
  <c r="C8" i="1"/>
  <c r="C27" i="1" s="1"/>
  <c r="C5" i="1" l="1"/>
  <c r="E5" i="1" s="1"/>
  <c r="G42" i="1"/>
  <c r="G41" i="1"/>
  <c r="E15" i="1"/>
  <c r="E7" i="1"/>
  <c r="E14" i="1"/>
  <c r="E12" i="1"/>
  <c r="E16" i="1"/>
  <c r="E13" i="1"/>
  <c r="E8" i="1"/>
  <c r="E10" i="1"/>
  <c r="E9" i="1"/>
  <c r="E11" i="1"/>
  <c r="E6" i="1"/>
  <c r="C24" i="1" l="1"/>
  <c r="E24" i="1"/>
  <c r="G24" i="1" s="1"/>
  <c r="K24" i="1" s="1"/>
  <c r="K39" i="1" s="1"/>
  <c r="E29" i="1"/>
  <c r="G29" i="1" s="1"/>
  <c r="K29" i="1" s="1"/>
  <c r="K44" i="1" s="1"/>
  <c r="E32" i="1"/>
  <c r="G32" i="1" s="1"/>
  <c r="K32" i="1" s="1"/>
  <c r="K47" i="1" s="1"/>
  <c r="E33" i="1"/>
  <c r="G33" i="1" s="1"/>
  <c r="K33" i="1" s="1"/>
  <c r="K48" i="1" s="1"/>
  <c r="E34" i="1"/>
  <c r="G34" i="1" s="1"/>
  <c r="K34" i="1" s="1"/>
  <c r="K49" i="1" s="1"/>
  <c r="E27" i="1"/>
  <c r="G27" i="1" s="1"/>
  <c r="K27" i="1" s="1"/>
  <c r="K42" i="1" s="1"/>
  <c r="E35" i="1"/>
  <c r="G35" i="1" s="1"/>
  <c r="K35" i="1" s="1"/>
  <c r="K50" i="1" s="1"/>
  <c r="E25" i="1"/>
  <c r="G25" i="1" s="1"/>
  <c r="K25" i="1" s="1"/>
  <c r="K40" i="1" s="1"/>
  <c r="E31" i="1"/>
  <c r="G31" i="1" s="1"/>
  <c r="K31" i="1" s="1"/>
  <c r="K46" i="1" s="1"/>
  <c r="E28" i="1"/>
  <c r="G28" i="1" s="1"/>
  <c r="K28" i="1" s="1"/>
  <c r="K43" i="1" s="1"/>
  <c r="E26" i="1"/>
  <c r="G26" i="1" s="1"/>
  <c r="K26" i="1" s="1"/>
  <c r="K41" i="1" s="1"/>
  <c r="E30" i="1"/>
  <c r="G30" i="1" s="1"/>
  <c r="K30" i="1" s="1"/>
  <c r="K45" i="1" s="1"/>
  <c r="O40" i="1" l="1"/>
  <c r="M56" i="1" s="1"/>
  <c r="O50" i="1"/>
  <c r="M66" i="1" s="1"/>
  <c r="O45" i="1"/>
  <c r="M61" i="1" s="1"/>
  <c r="O41" i="1"/>
  <c r="M57" i="1" s="1"/>
  <c r="O42" i="1"/>
  <c r="M58" i="1" s="1"/>
  <c r="O44" i="1"/>
  <c r="M60" i="1" s="1"/>
  <c r="O47" i="1"/>
  <c r="M63" i="1" s="1"/>
  <c r="O39" i="1"/>
  <c r="M55" i="1" s="1"/>
  <c r="O43" i="1"/>
  <c r="M59" i="1" s="1"/>
  <c r="O48" i="1"/>
  <c r="M64" i="1" s="1"/>
  <c r="O49" i="1"/>
  <c r="M65" i="1" s="1"/>
  <c r="O46" i="1"/>
  <c r="M62" i="1" s="1"/>
  <c r="M67" i="1" l="1"/>
  <c r="G18" i="11" s="1"/>
</calcChain>
</file>

<file path=xl/sharedStrings.xml><?xml version="1.0" encoding="utf-8"?>
<sst xmlns="http://schemas.openxmlformats.org/spreadsheetml/2006/main" count="396" uniqueCount="97">
  <si>
    <t>Month</t>
  </si>
  <si>
    <t>Percentage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</si>
  <si>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</si>
  <si>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</si>
  <si>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</si>
  <si>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</si>
  <si>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</si>
  <si>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</si>
  <si>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</si>
  <si>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</si>
  <si>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</si>
  <si>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</si>
  <si>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</si>
  <si>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</si>
  <si>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Data fra DMI</t>
  </si>
  <si>
    <t>Temperature (°C)</t>
  </si>
  <si>
    <t>Speed (meters per second)</t>
  </si>
  <si>
    <t>Specifik varmekapasitet for luft</t>
  </si>
  <si>
    <t>Faktor Beskrivelse</t>
  </si>
  <si>
    <t>Betegnelse</t>
  </si>
  <si>
    <t>Faktor</t>
  </si>
  <si>
    <t>Enhed</t>
  </si>
  <si>
    <t>Densiteten af luft</t>
  </si>
  <si>
    <t>kg/m^3</t>
  </si>
  <si>
    <t>Calculations of airflow based on month</t>
  </si>
  <si>
    <t>Airflow = (Size of window * Wind speed * Temperature difference * Humidity difference * Cosine(Angle of window)) / (Specific heat capacity of air * Density of air)</t>
  </si>
  <si>
    <t>%</t>
  </si>
  <si>
    <t>Areal (m2)</t>
  </si>
  <si>
    <t>Design</t>
  </si>
  <si>
    <t>Diff</t>
  </si>
  <si>
    <t>m/min</t>
  </si>
  <si>
    <t>Koorigerings konstant</t>
  </si>
  <si>
    <t>m3/s</t>
  </si>
  <si>
    <t>m3/min</t>
  </si>
  <si>
    <t>Volume (m3)</t>
  </si>
  <si>
    <t>Radians</t>
  </si>
  <si>
    <t>Specifik varmekapasitet for vand</t>
  </si>
  <si>
    <t>Luftskifte = (RoomVolume / Airflow)---(RumVolumen/hr)</t>
  </si>
  <si>
    <t>Energy Calculations (temperature change)</t>
  </si>
  <si>
    <t>kJ/h</t>
  </si>
  <si>
    <t>J/h</t>
  </si>
  <si>
    <t>Energy Calculations (humidity change)</t>
  </si>
  <si>
    <t>Kg vand pr kg luft</t>
  </si>
  <si>
    <t>kg</t>
  </si>
  <si>
    <t>massen af luft</t>
  </si>
  <si>
    <t>kg/m3</t>
  </si>
  <si>
    <t>kg/kg</t>
  </si>
  <si>
    <t>Mass of water vapor</t>
  </si>
  <si>
    <t>Q1 = V * ρ * Cp * (T2 - T1)</t>
  </si>
  <si>
    <t>Q2=mw*(H2-H1)</t>
  </si>
  <si>
    <t>MW</t>
  </si>
  <si>
    <t>Humidity Ratio</t>
  </si>
  <si>
    <t>fraction</t>
  </si>
  <si>
    <t>SUM Energy</t>
  </si>
  <si>
    <t>Q1+Q2</t>
  </si>
  <si>
    <t>SUM Energy pr X hrs</t>
  </si>
  <si>
    <t>hrs</t>
  </si>
  <si>
    <t>Kwh</t>
  </si>
  <si>
    <t>Co2</t>
  </si>
  <si>
    <t>Kwh regnskab X timer</t>
  </si>
  <si>
    <t>Co2 x timer</t>
  </si>
  <si>
    <t>kg co2 pr kwh</t>
  </si>
  <si>
    <t>kJ</t>
  </si>
  <si>
    <t>Kj-&gt; kwh</t>
  </si>
  <si>
    <t>Diff (K)</t>
  </si>
  <si>
    <t>Design (°C)</t>
  </si>
  <si>
    <t>Samlet vol (m3)/hr</t>
  </si>
  <si>
    <t>Avrg Inside humidity</t>
  </si>
  <si>
    <t>Forbrænding</t>
  </si>
  <si>
    <t>Genanvendelse</t>
  </si>
  <si>
    <t>Antal Jatalock</t>
  </si>
  <si>
    <t>CO2 pr Jatalock</t>
  </si>
  <si>
    <t>kg CO2</t>
  </si>
  <si>
    <t/>
  </si>
  <si>
    <t>SUM besparet</t>
  </si>
  <si>
    <t>kJ/(kg*K)</t>
  </si>
  <si>
    <t xml:space="preserve">længde </t>
  </si>
  <si>
    <t xml:space="preserve">højde </t>
  </si>
  <si>
    <r>
      <t xml:space="preserve">Degrees © 
</t>
    </r>
    <r>
      <rPr>
        <i/>
        <sz val="11"/>
        <color theme="1"/>
        <rFont val="Calibri"/>
        <family val="2"/>
        <scheme val="minor"/>
      </rPr>
      <t>90 = Closed, X=80 ajar, X=1 fully Open</t>
    </r>
  </si>
  <si>
    <t>Højde</t>
  </si>
  <si>
    <t xml:space="preserve">Antal dage åben </t>
  </si>
  <si>
    <r>
      <t>Temperatur (</t>
    </r>
    <r>
      <rPr>
        <b/>
        <sz val="14"/>
        <color theme="1"/>
        <rFont val="Calibri"/>
        <family val="2"/>
      </rPr>
      <t>°C)</t>
    </r>
    <r>
      <rPr>
        <b/>
        <sz val="14"/>
        <color theme="1"/>
        <rFont val="Calibri"/>
        <family val="2"/>
        <scheme val="minor"/>
      </rPr>
      <t xml:space="preserve"> indv. </t>
    </r>
  </si>
  <si>
    <t>Gennemsnit</t>
  </si>
  <si>
    <t>Med dette kan der estimeres følgende besparelse beregnet som forskel mellem bygning uden og bygning med JATALOCK</t>
  </si>
  <si>
    <t>Luftberegningen er et estimat om omkostningerne ved ventilation, og ikke en eksakt model.</t>
  </si>
  <si>
    <t>Formlen er simplificeret for at imødekomme brugervenlighed. CO2 opgørelse for produkt og beregningsmodel er udarbejdet af TRE – Trap, Rose &amp; Ekblad, Rådgivende Ingeniører og Biologer</t>
  </si>
  <si>
    <t>Størrelse døre/vinduer (m)</t>
  </si>
  <si>
    <t xml:space="preserve">Antal døre/vinduer I bygning/bolig  </t>
  </si>
  <si>
    <t xml:space="preserve">Besparelse viser med JATALOCK og lukkede døre/vinduer </t>
  </si>
  <si>
    <t>Åbningsgrad døre/vinduer 1 cm = 80</t>
  </si>
  <si>
    <t>1. Temperatur indvendigt i bygningen i byggefasen</t>
  </si>
  <si>
    <t>Brugermanual:</t>
  </si>
  <si>
    <r>
      <t xml:space="preserve">Bygning/bolig Areal </t>
    </r>
    <r>
      <rPr>
        <sz val="14"/>
        <color theme="0"/>
        <rFont val="Calibri"/>
        <family val="2"/>
        <scheme val="minor"/>
      </rPr>
      <t>(</t>
    </r>
    <r>
      <rPr>
        <b/>
        <sz val="14"/>
        <color theme="0"/>
        <rFont val="Calibri"/>
        <family val="2"/>
        <scheme val="minor"/>
      </rPr>
      <t>m2)</t>
    </r>
  </si>
  <si>
    <t xml:space="preserve">For at bruge C02-beregneren, skal I følge trin 1 til 4. I skal indtaste jeres data (tal) i de blå felter i C02-beregneren </t>
  </si>
  <si>
    <t>2. Antal dage som døre/vinduer forventes at stå åbne i byggefasen</t>
  </si>
  <si>
    <t>3. Gennemsnitlig størrelse på døre/vinduer bredde og højde i hele meter</t>
  </si>
  <si>
    <t>4. Antal døre/vinduer i en bygningen/boligen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</si>
</sst>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8"/>
      <color rgb="FF374151"/>
      <name val="Segoe U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857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0" applyFont="1"/>
    <xf numFmtId="2" fontId="0" fillId="0" borderId="0" xfId="0" applyNumberFormat="1"/>
    <xf numFmtId="11" fontId="0" fillId="0" borderId="0" xfId="0" applyNumberFormat="1"/>
    <xf numFmtId="0" fontId="0" fillId="3" borderId="1" xfId="0" applyFill="1" applyBorder="1"/>
    <xf numFmtId="0" fontId="0" fillId="3" borderId="1" xfId="0" applyFill="1" applyBorder="1" applyAlignment="1">
      <alignment horizontal="left" vertical="center"/>
    </xf>
    <xf numFmtId="2" fontId="0" fillId="3" borderId="1" xfId="0" applyNumberFormat="1" applyFill="1" applyBorder="1"/>
    <xf numFmtId="164" fontId="0" fillId="3" borderId="1" xfId="0" applyNumberFormat="1" applyFill="1" applyBorder="1"/>
    <xf numFmtId="11" fontId="0" fillId="3" borderId="1" xfId="0" applyNumberFormat="1" applyFill="1" applyBorder="1"/>
    <xf numFmtId="0" fontId="0" fillId="4" borderId="1" xfId="0" applyFill="1" applyBorder="1"/>
    <xf numFmtId="0" fontId="0" fillId="0" borderId="1" xfId="0" applyBorder="1"/>
    <xf numFmtId="0" fontId="4" fillId="4" borderId="1" xfId="0" applyFont="1" applyFill="1" applyBorder="1"/>
    <xf numFmtId="0" fontId="4" fillId="4" borderId="3" xfId="0" applyFont="1" applyFill="1" applyBorder="1"/>
    <xf numFmtId="4" fontId="0" fillId="3" borderId="1" xfId="0" applyNumberFormat="1" applyFill="1" applyBorder="1"/>
    <xf numFmtId="0" fontId="0" fillId="4" borderId="0" xfId="0" applyFill="1"/>
    <xf numFmtId="2" fontId="0" fillId="4" borderId="0" xfId="0" applyNumberFormat="1" applyFill="1"/>
    <xf numFmtId="4" fontId="0" fillId="0" borderId="0" xfId="0" applyNumberFormat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0" xfId="0" quotePrefix="1"/>
    <xf numFmtId="165" fontId="0" fillId="3" borderId="1" xfId="0" applyNumberFormat="1" applyFill="1" applyBorder="1"/>
    <xf numFmtId="0" fontId="5" fillId="6" borderId="7" xfId="0" applyFont="1" applyFill="1" applyBorder="1"/>
    <xf numFmtId="2" fontId="5" fillId="6" borderId="7" xfId="0" applyNumberFormat="1" applyFont="1" applyFill="1" applyBorder="1"/>
    <xf numFmtId="0" fontId="5" fillId="0" borderId="0" xfId="0" applyFont="1"/>
    <xf numFmtId="4" fontId="5" fillId="0" borderId="0" xfId="0" applyNumberFormat="1" applyFont="1"/>
    <xf numFmtId="11" fontId="5" fillId="0" borderId="0" xfId="0" applyNumberFormat="1" applyFont="1"/>
    <xf numFmtId="2" fontId="5" fillId="0" borderId="0" xfId="0" applyNumberFormat="1" applyFont="1"/>
    <xf numFmtId="0" fontId="8" fillId="7" borderId="18" xfId="0" applyFont="1" applyFill="1" applyBorder="1"/>
    <xf numFmtId="164" fontId="0" fillId="0" borderId="1" xfId="0" applyNumberFormat="1" applyBorder="1"/>
    <xf numFmtId="2" fontId="0" fillId="0" borderId="1" xfId="0" applyNumberFormat="1" applyBorder="1"/>
    <xf numFmtId="164" fontId="8" fillId="0" borderId="9" xfId="0" applyNumberFormat="1" applyFont="1" applyBorder="1"/>
    <xf numFmtId="0" fontId="13" fillId="0" borderId="0" xfId="0" applyFont="1"/>
    <xf numFmtId="0" fontId="13" fillId="3" borderId="6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8" fillId="2" borderId="13" xfId="0" applyFont="1" applyFill="1" applyBorder="1"/>
    <xf numFmtId="0" fontId="10" fillId="2" borderId="10" xfId="0" applyFont="1" applyFill="1" applyBorder="1"/>
    <xf numFmtId="0" fontId="6" fillId="2" borderId="17" xfId="0" applyFont="1" applyFill="1" applyBorder="1"/>
    <xf numFmtId="0" fontId="6" fillId="2" borderId="8" xfId="0" applyFont="1" applyFill="1" applyBorder="1"/>
    <xf numFmtId="0" fontId="8" fillId="2" borderId="4" xfId="0" applyFont="1" applyFill="1" applyBorder="1"/>
    <xf numFmtId="0" fontId="8" fillId="2" borderId="21" xfId="0" applyFont="1" applyFill="1" applyBorder="1" applyAlignment="1">
      <alignment wrapText="1"/>
    </xf>
    <xf numFmtId="0" fontId="6" fillId="8" borderId="9" xfId="0" applyFont="1" applyFill="1" applyBorder="1" applyAlignment="1" applyProtection="1">
      <alignment horizontal="center" vertical="center"/>
      <protection locked="0"/>
    </xf>
    <xf numFmtId="0" fontId="6" fillId="8" borderId="20" xfId="0" applyFont="1" applyFill="1" applyBorder="1" applyAlignment="1" applyProtection="1">
      <alignment horizontal="center" vertical="center"/>
      <protection locked="0"/>
    </xf>
    <xf numFmtId="0" fontId="6" fillId="8" borderId="15" xfId="0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5" fillId="0" borderId="0" xfId="0" applyFont="1" applyAlignment="1">
      <alignment vertical="top"/>
    </xf>
    <xf numFmtId="0" fontId="14" fillId="5" borderId="23" xfId="0" applyFont="1" applyFill="1" applyBorder="1"/>
    <xf numFmtId="4" fontId="14" fillId="5" borderId="23" xfId="0" applyNumberFormat="1" applyFont="1" applyFill="1" applyBorder="1"/>
    <xf numFmtId="0" fontId="0" fillId="9" borderId="0" xfId="0" applyFill="1"/>
    <xf numFmtId="0" fontId="15" fillId="0" borderId="0" xfId="0" applyFont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14" fillId="5" borderId="25" xfId="0" applyFont="1" applyFill="1" applyBorder="1" applyAlignment="1">
      <alignment horizontal="center"/>
    </xf>
    <xf numFmtId="0" fontId="14" fillId="5" borderId="26" xfId="0" applyFont="1" applyFill="1" applyBorder="1" applyAlignment="1">
      <alignment horizontal="center"/>
    </xf>
    <xf numFmtId="0" fontId="16" fillId="10" borderId="0" xfId="0" applyFont="1" applyFill="1" applyBorder="1"/>
    <xf numFmtId="0" fontId="12" fillId="10" borderId="0" xfId="0" applyFont="1" applyFill="1" applyBorder="1"/>
    <xf numFmtId="164" fontId="16" fillId="10" borderId="0" xfId="0" applyNumberFormat="1" applyFont="1" applyFill="1" applyBorder="1" applyProtection="1">
      <protection locked="0"/>
    </xf>
    <xf numFmtId="0" fontId="17" fillId="10" borderId="0" xfId="0" applyFont="1" applyFill="1" applyBorder="1"/>
    <xf numFmtId="0" fontId="6" fillId="2" borderId="27" xfId="0" applyFont="1" applyFill="1" applyBorder="1"/>
    <xf numFmtId="0" fontId="6" fillId="8" borderId="28" xfId="0" applyFont="1" applyFill="1" applyBorder="1" applyAlignment="1" applyProtection="1">
      <alignment horizontal="center" vertical="center"/>
      <protection locked="0"/>
    </xf>
    <xf numFmtId="0" fontId="8" fillId="7" borderId="29" xfId="0" applyFont="1" applyFill="1" applyBorder="1"/>
    <xf numFmtId="0" fontId="11" fillId="7" borderId="22" xfId="0" applyFont="1" applyFill="1" applyBorder="1"/>
    <xf numFmtId="0" fontId="13" fillId="9" borderId="30" xfId="0" applyFont="1" applyFill="1" applyBorder="1"/>
    <xf numFmtId="0" fontId="0" fillId="9" borderId="31" xfId="0" applyFill="1" applyBorder="1"/>
    <xf numFmtId="0" fontId="0" fillId="9" borderId="14" xfId="0" applyFill="1" applyBorder="1"/>
    <xf numFmtId="0" fontId="0" fillId="9" borderId="32" xfId="0" applyFill="1" applyBorder="1"/>
    <xf numFmtId="0" fontId="0" fillId="9" borderId="0" xfId="0" applyFill="1" applyBorder="1"/>
    <xf numFmtId="0" fontId="0" fillId="9" borderId="16" xfId="0" applyFill="1" applyBorder="1"/>
    <xf numFmtId="0" fontId="0" fillId="9" borderId="18" xfId="0" applyFill="1" applyBorder="1"/>
    <xf numFmtId="0" fontId="0" fillId="9" borderId="19" xfId="0" applyFill="1" applyBorder="1"/>
    <xf numFmtId="0" fontId="0" fillId="9" borderId="22" xfId="0" applyFill="1" applyBorder="1"/>
    <xf numFmtId="0" fontId="15" fillId="9" borderId="3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857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8C385-89AB-4556-9D65-B62CBFAF4988}">
  <sheetPr codeName="Sheet1"/>
  <dimension ref="D8:N30"/>
  <sheetViews>
    <sheetView showGridLines="0" tabSelected="1" topLeftCell="A7" workbookViewId="0">
      <selection activeCell="E10" sqref="E10"/>
    </sheetView>
  </sheetViews>
  <sheetFormatPr defaultRowHeight="15" x14ac:dyDescent="0.25"/>
  <cols>
    <col min="4" max="4" width="24.85546875" bestFit="1" customWidth="1"/>
    <col min="5" max="5" width="29.42578125" bestFit="1" customWidth="1"/>
    <col min="6" max="6" width="12.85546875" bestFit="1" customWidth="1"/>
    <col min="7" max="7" width="29.28515625" customWidth="1"/>
    <col min="8" max="8" width="95.28515625" customWidth="1"/>
    <col min="9" max="9" width="0.42578125" hidden="1" customWidth="1"/>
    <col min="10" max="10" width="16.7109375" hidden="1" customWidth="1"/>
  </cols>
  <sheetData>
    <row r="8" spans="4:14" ht="15.75" thickBot="1" x14ac:dyDescent="0.3"/>
    <row r="9" spans="4:14" ht="18.75" x14ac:dyDescent="0.3">
      <c r="E9" s="37" t="s">
        <v>81</v>
      </c>
      <c r="F9" s="38" t="s">
        <v>86</v>
      </c>
      <c r="G9" s="39"/>
      <c r="H9" s="61" t="s">
        <v>87</v>
      </c>
      <c r="I9" s="57" t="s">
        <v>92</v>
      </c>
      <c r="J9" s="58"/>
    </row>
    <row r="10" spans="4:14" ht="18.75" x14ac:dyDescent="0.3">
      <c r="E10" s="47">
        <v>18</v>
      </c>
      <c r="F10" s="45">
        <v>1</v>
      </c>
      <c r="G10" s="40" t="s">
        <v>77</v>
      </c>
      <c r="H10" s="62">
        <v>5</v>
      </c>
      <c r="I10" s="59">
        <v>100</v>
      </c>
      <c r="J10" s="60"/>
    </row>
    <row r="11" spans="4:14" ht="18.75" x14ac:dyDescent="0.3">
      <c r="E11" s="41" t="s">
        <v>80</v>
      </c>
      <c r="F11" s="45">
        <v>1</v>
      </c>
      <c r="G11" s="40" t="s">
        <v>76</v>
      </c>
      <c r="H11" s="63"/>
      <c r="I11" s="58"/>
      <c r="J11" s="58"/>
    </row>
    <row r="12" spans="4:14" ht="18.75" x14ac:dyDescent="0.3">
      <c r="E12" s="47">
        <v>65</v>
      </c>
      <c r="F12" s="42" t="s">
        <v>89</v>
      </c>
      <c r="G12" s="43"/>
      <c r="H12" s="63"/>
      <c r="I12" s="58"/>
      <c r="J12" s="58"/>
    </row>
    <row r="13" spans="4:14" ht="50.25" thickBot="1" x14ac:dyDescent="0.35">
      <c r="E13" s="31"/>
      <c r="F13" s="46">
        <v>80</v>
      </c>
      <c r="G13" s="44" t="s">
        <v>78</v>
      </c>
      <c r="H13" s="64"/>
      <c r="I13" s="58"/>
      <c r="J13" s="58"/>
    </row>
    <row r="14" spans="4:14" x14ac:dyDescent="0.25">
      <c r="E14" s="23" t="s">
        <v>73</v>
      </c>
    </row>
    <row r="15" spans="4:14" x14ac:dyDescent="0.25">
      <c r="D15" s="53" t="s">
        <v>83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4:14" x14ac:dyDescent="0.25">
      <c r="D16" s="35"/>
    </row>
    <row r="17" spans="5:10" x14ac:dyDescent="0.25">
      <c r="F17" s="54" t="s">
        <v>88</v>
      </c>
      <c r="G17" s="55"/>
      <c r="H17" s="56"/>
    </row>
    <row r="18" spans="5:10" x14ac:dyDescent="0.25">
      <c r="F18" s="50" t="s">
        <v>74</v>
      </c>
      <c r="G18" s="51">
        <f>Oversigt!M69*Oversigt!M70-Oversigt!M67</f>
        <v>-3523.4649378603649</v>
      </c>
      <c r="H18" s="50" t="s">
        <v>72</v>
      </c>
    </row>
    <row r="20" spans="5:10" x14ac:dyDescent="0.25">
      <c r="E20" s="48" t="s">
        <v>84</v>
      </c>
    </row>
    <row r="21" spans="5:10" x14ac:dyDescent="0.25">
      <c r="E21" s="49" t="s">
        <v>85</v>
      </c>
    </row>
    <row r="22" spans="5:10" ht="15.75" thickBot="1" x14ac:dyDescent="0.3"/>
    <row r="23" spans="5:10" x14ac:dyDescent="0.25">
      <c r="E23" s="65" t="s">
        <v>91</v>
      </c>
      <c r="F23" s="66"/>
      <c r="G23" s="66"/>
      <c r="H23" s="67"/>
      <c r="I23" s="52"/>
      <c r="J23" s="52"/>
    </row>
    <row r="24" spans="5:10" x14ac:dyDescent="0.25">
      <c r="E24" s="68"/>
      <c r="F24" s="69"/>
      <c r="G24" s="69"/>
      <c r="H24" s="70"/>
      <c r="I24" s="52"/>
      <c r="J24" s="52"/>
    </row>
    <row r="25" spans="5:10" x14ac:dyDescent="0.25">
      <c r="E25" s="74" t="s">
        <v>93</v>
      </c>
      <c r="F25" s="69"/>
      <c r="G25" s="69"/>
      <c r="H25" s="70"/>
      <c r="I25" s="52"/>
      <c r="J25" s="52"/>
    </row>
    <row r="26" spans="5:10" x14ac:dyDescent="0.25">
      <c r="E26" s="68" t="s">
        <v>90</v>
      </c>
      <c r="F26" s="69"/>
      <c r="G26" s="69"/>
      <c r="H26" s="70"/>
      <c r="I26" s="52"/>
      <c r="J26" s="52"/>
    </row>
    <row r="27" spans="5:10" x14ac:dyDescent="0.25">
      <c r="E27" s="68" t="s">
        <v>94</v>
      </c>
      <c r="F27" s="69"/>
      <c r="G27" s="69"/>
      <c r="H27" s="70"/>
      <c r="I27" s="52"/>
      <c r="J27" s="52"/>
    </row>
    <row r="28" spans="5:10" x14ac:dyDescent="0.25">
      <c r="E28" s="68" t="s">
        <v>95</v>
      </c>
      <c r="F28" s="69"/>
      <c r="G28" s="69"/>
      <c r="H28" s="70"/>
      <c r="I28" s="52"/>
      <c r="J28" s="52"/>
    </row>
    <row r="29" spans="5:10" x14ac:dyDescent="0.25">
      <c r="E29" s="68" t="s">
        <v>96</v>
      </c>
      <c r="F29" s="69"/>
      <c r="G29" s="69"/>
      <c r="H29" s="70"/>
      <c r="I29" s="52"/>
      <c r="J29" s="52"/>
    </row>
    <row r="30" spans="5:10" ht="15.75" thickBot="1" x14ac:dyDescent="0.3">
      <c r="E30" s="71"/>
      <c r="F30" s="72"/>
      <c r="G30" s="72"/>
      <c r="H30" s="73"/>
      <c r="I30" s="52"/>
      <c r="J30" s="52"/>
    </row>
  </sheetData>
  <sheetProtection algorithmName="SHA-512" hashValue="Gs99I30nYxwKo4zDR6ZqGB25nACKH8rXhQ4mYuAtrpqzHx5H/Ngcd+PR4CakVDetgEi8TbqHMsu8GqfqgldLfA==" saltValue="W90LJbG9ffq593yKFY5rug==" spinCount="100000" sheet="1" objects="1" scenarios="1" formatCells="0" selectLockedCells="1"/>
  <mergeCells count="2">
    <mergeCell ref="D15:N15"/>
    <mergeCell ref="F17:H17"/>
  </mergeCells>
  <pageMargins left="0.7" right="0.7" top="0.75" bottom="0.75" header="0.3" footer="0.3"/>
  <pageSetup orientation="portrait" r:id="rId1"/>
  <cellWatches>
    <cellWatch r="E1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B183-0C23-4028-8042-038881A8D28D}">
  <sheetPr codeName="Sheet2"/>
  <dimension ref="B2:Q70"/>
  <sheetViews>
    <sheetView showGridLines="0" topLeftCell="C1" zoomScale="70" zoomScaleNormal="70" workbookViewId="0">
      <selection activeCell="G32" sqref="G32"/>
    </sheetView>
  </sheetViews>
  <sheetFormatPr defaultRowHeight="15" x14ac:dyDescent="0.25"/>
  <cols>
    <col min="2" max="2" width="11.42578125" bestFit="1" customWidth="1"/>
    <col min="3" max="3" width="142.42578125" bestFit="1" customWidth="1"/>
    <col min="4" max="4" width="12.42578125" bestFit="1" customWidth="1"/>
    <col min="5" max="5" width="16.42578125" bestFit="1" customWidth="1"/>
    <col min="6" max="6" width="20.7109375" bestFit="1" customWidth="1"/>
    <col min="7" max="7" width="25.140625" customWidth="1"/>
    <col min="8" max="8" width="26.85546875" customWidth="1"/>
    <col min="9" max="9" width="28.85546875" bestFit="1" customWidth="1"/>
    <col min="10" max="10" width="16.5703125" customWidth="1"/>
    <col min="11" max="11" width="25" customWidth="1"/>
    <col min="12" max="12" width="23.5703125" customWidth="1"/>
    <col min="13" max="13" width="22.140625" customWidth="1"/>
    <col min="14" max="14" width="15.5703125" bestFit="1" customWidth="1"/>
    <col min="15" max="15" width="21.85546875" bestFit="1" customWidth="1"/>
    <col min="21" max="21" width="10.140625" bestFit="1" customWidth="1"/>
  </cols>
  <sheetData>
    <row r="2" spans="2:16" x14ac:dyDescent="0.25">
      <c r="C2" t="s">
        <v>24</v>
      </c>
    </row>
    <row r="3" spans="2:16" ht="42.6" customHeight="1" x14ac:dyDescent="0.25">
      <c r="B3" s="6"/>
      <c r="C3" s="7" t="s">
        <v>25</v>
      </c>
      <c r="D3" s="6"/>
      <c r="E3" s="6"/>
    </row>
    <row r="4" spans="2:16" x14ac:dyDescent="0.25">
      <c r="B4" s="6" t="s">
        <v>0</v>
      </c>
      <c r="C4" s="6"/>
      <c r="D4" s="6"/>
      <c r="E4" s="6" t="s">
        <v>33</v>
      </c>
    </row>
    <row r="5" spans="2:16" x14ac:dyDescent="0.25">
      <c r="B5" s="6" t="s">
        <v>2</v>
      </c>
      <c r="C5" s="24">
        <f>((O14*Vindhastighed!D4*(Temperaturer!H4*Luftfugtighed!H4)*COS(Oversigt!O17))/(Kendte!D4*Kendte!D5))*O12</f>
        <v>1.6686545541769289</v>
      </c>
      <c r="D5" s="6" t="s">
        <v>32</v>
      </c>
      <c r="E5" s="9">
        <f>C5*60</f>
        <v>100.11927325061573</v>
      </c>
    </row>
    <row r="6" spans="2:16" x14ac:dyDescent="0.25">
      <c r="B6" s="6" t="s">
        <v>3</v>
      </c>
      <c r="C6" s="24">
        <f>((O14*Vindhastighed!D5*(Temperaturer!H5*Luftfugtighed!H5)*COS(Oversigt!O17))/(Kendte!D4*Kendte!D5))*O12</f>
        <v>1.9483411229570096</v>
      </c>
      <c r="D6" s="6" t="s">
        <v>32</v>
      </c>
      <c r="E6" s="9">
        <f t="shared" ref="E6:E16" si="0">C6*60</f>
        <v>116.90046737742057</v>
      </c>
    </row>
    <row r="7" spans="2:16" ht="18.75" x14ac:dyDescent="0.3">
      <c r="B7" s="6" t="s">
        <v>4</v>
      </c>
      <c r="C7" s="24">
        <f>((O14*Vindhastighed!D6*(Temperaturer!H6*Luftfugtighed!H6)*COS(Oversigt!O17))/(Kendte!D4*Kendte!D5))*O12</f>
        <v>1.3561863200662883</v>
      </c>
      <c r="D7" s="6" t="s">
        <v>32</v>
      </c>
      <c r="E7" s="9">
        <f t="shared" si="0"/>
        <v>81.371179203977292</v>
      </c>
      <c r="O7" s="34">
        <v>3</v>
      </c>
      <c r="P7" t="s">
        <v>79</v>
      </c>
    </row>
    <row r="8" spans="2:16" x14ac:dyDescent="0.25">
      <c r="B8" s="6" t="s">
        <v>5</v>
      </c>
      <c r="C8" s="24">
        <f>((O14*Vindhastighed!D7*(Temperaturer!H7*Luftfugtighed!H7)*COS(Oversigt!O17))/(Kendte!D4*Kendte!D5))*O12</f>
        <v>0.87547383088027486</v>
      </c>
      <c r="D8" s="6" t="s">
        <v>32</v>
      </c>
      <c r="E8" s="9">
        <f t="shared" si="0"/>
        <v>52.528429852816494</v>
      </c>
      <c r="O8" t="s">
        <v>67</v>
      </c>
    </row>
    <row r="9" spans="2:16" x14ac:dyDescent="0.25">
      <c r="B9" s="6" t="s">
        <v>6</v>
      </c>
      <c r="C9" s="24">
        <f>((O14*Vindhastighed!D8*(Temperaturer!H8*Luftfugtighed!H8)*COS(Oversigt!O17))/(Kendte!D4*Kendte!D5))*O12</f>
        <v>0.3440092355562745</v>
      </c>
      <c r="D9" s="6" t="s">
        <v>32</v>
      </c>
      <c r="E9" s="9">
        <f t="shared" si="0"/>
        <v>20.640554133376469</v>
      </c>
      <c r="O9" s="12">
        <v>50</v>
      </c>
      <c r="P9" s="12" t="s">
        <v>26</v>
      </c>
    </row>
    <row r="10" spans="2:16" x14ac:dyDescent="0.25">
      <c r="B10" s="6" t="s">
        <v>7</v>
      </c>
      <c r="C10" s="24">
        <f>((O14*Vindhastighed!D9*(Temperaturer!H9*Luftfugtighed!H9)*COS(Oversigt!O17))/(Kendte!D4*Kendte!D5))*O12</f>
        <v>5.6789151021336207E-2</v>
      </c>
      <c r="D10" s="6" t="s">
        <v>32</v>
      </c>
      <c r="E10" s="9">
        <f t="shared" si="0"/>
        <v>3.4073490612801725</v>
      </c>
      <c r="O10">
        <f>O9/100</f>
        <v>0.5</v>
      </c>
      <c r="P10" t="s">
        <v>52</v>
      </c>
    </row>
    <row r="11" spans="2:16" x14ac:dyDescent="0.25">
      <c r="B11" s="6" t="s">
        <v>8</v>
      </c>
      <c r="C11" s="24">
        <f>((O14*Vindhastighed!D10*(Temperaturer!H10*Luftfugtighed!H10)*COS(Oversigt!O17))/(Kendte!D4*Kendte!D5))*O12</f>
        <v>0</v>
      </c>
      <c r="D11" s="6" t="s">
        <v>32</v>
      </c>
      <c r="E11" s="9">
        <f t="shared" si="0"/>
        <v>0</v>
      </c>
      <c r="O11" s="12" t="s">
        <v>31</v>
      </c>
    </row>
    <row r="12" spans="2:16" x14ac:dyDescent="0.25">
      <c r="B12" s="6" t="s">
        <v>9</v>
      </c>
      <c r="C12" s="24">
        <f>((O14*Vindhastighed!D11*(Temperaturer!H11*Luftfugtighed!H11)*COS(Oversigt!O17))/(Kendte!D4*Kendte!D5))*O12</f>
        <v>0.11502361151686416</v>
      </c>
      <c r="D12" s="6" t="s">
        <v>32</v>
      </c>
      <c r="E12" s="9">
        <f t="shared" si="0"/>
        <v>6.9014166910118497</v>
      </c>
      <c r="O12" s="12">
        <f>1/10</f>
        <v>0.1</v>
      </c>
    </row>
    <row r="13" spans="2:16" x14ac:dyDescent="0.25">
      <c r="B13" s="6" t="s">
        <v>10</v>
      </c>
      <c r="C13" s="24">
        <f>((O14*Vindhastighed!D12*(Temperaturer!H12*Luftfugtighed!H12)*COS(Oversigt!O17))/(Kendte!D4*Kendte!D5))*O12</f>
        <v>0.17727424170173869</v>
      </c>
      <c r="D13" s="6" t="s">
        <v>32</v>
      </c>
      <c r="E13" s="9">
        <f t="shared" si="0"/>
        <v>10.636454502104321</v>
      </c>
    </row>
    <row r="14" spans="2:16" x14ac:dyDescent="0.25">
      <c r="B14" s="6" t="s">
        <v>11</v>
      </c>
      <c r="C14" s="24">
        <f>((O14*Vindhastighed!D13*(Temperaturer!H13*Luftfugtighed!H13)*COS(Oversigt!O17))/(Kendte!D4*Kendte!D5))*O12</f>
        <v>0.63603849143896563</v>
      </c>
      <c r="D14" s="6" t="s">
        <v>32</v>
      </c>
      <c r="E14" s="9">
        <f t="shared" si="0"/>
        <v>38.162309486337939</v>
      </c>
      <c r="O14" s="12">
        <f>'CO2 Beregner'!F10*'CO2 Beregner'!F11*'CO2 Beregner'!H10</f>
        <v>5</v>
      </c>
      <c r="P14" s="12" t="s">
        <v>27</v>
      </c>
    </row>
    <row r="15" spans="2:16" x14ac:dyDescent="0.25">
      <c r="B15" s="6" t="s">
        <v>12</v>
      </c>
      <c r="C15" s="24">
        <f>((O14*Vindhastighed!D14*(Temperaturer!H14*Luftfugtighed!H14)*COS(Oversigt!O17))/(Kendte!D4*Kendte!D5))*O12</f>
        <v>1.0958771305198391</v>
      </c>
      <c r="D15" s="6" t="s">
        <v>32</v>
      </c>
      <c r="E15" s="9">
        <f t="shared" si="0"/>
        <v>65.752627831190352</v>
      </c>
      <c r="O15" s="32">
        <f>O7*'CO2 Beregner'!I10</f>
        <v>300</v>
      </c>
      <c r="P15" s="33" t="s">
        <v>34</v>
      </c>
    </row>
    <row r="16" spans="2:16" x14ac:dyDescent="0.25">
      <c r="B16" s="6" t="s">
        <v>13</v>
      </c>
      <c r="C16" s="24">
        <f>((O14*Vindhastighed!D15*(Temperaturer!H15*Luftfugtighed!H15)*COS(Oversigt!O17))/(Kendte!D4*Kendte!D5))*O12</f>
        <v>1.6554037522719505</v>
      </c>
      <c r="D16" s="6" t="s">
        <v>32</v>
      </c>
      <c r="E16" s="9">
        <f t="shared" si="0"/>
        <v>99.324225136317025</v>
      </c>
      <c r="H16" s="27"/>
      <c r="I16" s="28"/>
      <c r="J16" s="27"/>
      <c r="O16">
        <f>'CO2 Beregner'!E12*24</f>
        <v>1560</v>
      </c>
      <c r="P16" t="s">
        <v>56</v>
      </c>
    </row>
    <row r="17" spans="2:16" x14ac:dyDescent="0.25">
      <c r="O17" s="12">
        <f>RADIANS('CO2 Beregner'!F13)</f>
        <v>1.3962634015954636</v>
      </c>
      <c r="P17" s="12" t="s">
        <v>35</v>
      </c>
    </row>
    <row r="21" spans="2:16" x14ac:dyDescent="0.25">
      <c r="N21" s="12"/>
      <c r="P21" s="12"/>
    </row>
    <row r="22" spans="2:16" x14ac:dyDescent="0.25">
      <c r="B22" s="6"/>
      <c r="C22" s="6" t="s">
        <v>37</v>
      </c>
      <c r="D22" s="6"/>
      <c r="F22" s="6"/>
      <c r="G22" s="6" t="s">
        <v>38</v>
      </c>
      <c r="H22" s="6"/>
      <c r="J22" s="6"/>
      <c r="K22" s="6" t="s">
        <v>53</v>
      </c>
      <c r="L22" s="6"/>
      <c r="N22" s="6"/>
      <c r="O22" s="6" t="s">
        <v>51</v>
      </c>
      <c r="P22" s="6"/>
    </row>
    <row r="23" spans="2:16" x14ac:dyDescent="0.25">
      <c r="B23" s="6" t="s">
        <v>0</v>
      </c>
      <c r="C23" s="6"/>
      <c r="D23" s="6"/>
      <c r="E23" s="16" t="s">
        <v>66</v>
      </c>
      <c r="F23" s="6" t="s">
        <v>0</v>
      </c>
      <c r="G23" s="6" t="s">
        <v>48</v>
      </c>
      <c r="H23" s="6"/>
      <c r="J23" s="6" t="s">
        <v>0</v>
      </c>
      <c r="K23" s="6" t="s">
        <v>54</v>
      </c>
      <c r="L23" s="6"/>
      <c r="N23" s="6" t="s">
        <v>0</v>
      </c>
      <c r="O23" s="6"/>
      <c r="P23" s="6"/>
    </row>
    <row r="24" spans="2:16" x14ac:dyDescent="0.25">
      <c r="B24" s="6" t="s">
        <v>2</v>
      </c>
      <c r="C24" s="8">
        <f>3600/(O15/C5)</f>
        <v>20.023854650123148</v>
      </c>
      <c r="D24" s="6"/>
      <c r="E24" s="17">
        <f>E5*60</f>
        <v>6007.1563950369436</v>
      </c>
      <c r="F24" s="6" t="s">
        <v>2</v>
      </c>
      <c r="G24" s="8">
        <f>E24*Kendte!D5*Kendte!D4*Temperaturer!H4</f>
        <v>140276.59313121677</v>
      </c>
      <c r="H24" s="6" t="s">
        <v>39</v>
      </c>
      <c r="J24" s="6" t="s">
        <v>2</v>
      </c>
      <c r="K24" s="10">
        <f t="shared" ref="K24:K35" si="1">G24+(G39/1000)</f>
        <v>140276.59313121688</v>
      </c>
      <c r="L24" s="6" t="s">
        <v>39</v>
      </c>
      <c r="N24" s="6" t="s">
        <v>2</v>
      </c>
      <c r="O24" s="10">
        <f>(0.0054*O10)/(101.3)*10</f>
        <v>2.6653504442250743E-4</v>
      </c>
      <c r="P24" s="6" t="s">
        <v>46</v>
      </c>
    </row>
    <row r="25" spans="2:16" x14ac:dyDescent="0.25">
      <c r="B25" s="6" t="s">
        <v>3</v>
      </c>
      <c r="C25" s="8">
        <f>3600/(O15/C6)</f>
        <v>23.380093475484117</v>
      </c>
      <c r="D25" s="6"/>
      <c r="E25" s="17">
        <f>E6*60</f>
        <v>7014.0280426452337</v>
      </c>
      <c r="F25" s="6" t="s">
        <v>3</v>
      </c>
      <c r="G25" s="8">
        <f>E25*Kendte!D5*Kendte!D4*Temperaturer!H5</f>
        <v>170454.45358054171</v>
      </c>
      <c r="H25" s="6" t="s">
        <v>39</v>
      </c>
      <c r="J25" s="6" t="s">
        <v>3</v>
      </c>
      <c r="K25" s="10">
        <f t="shared" si="1"/>
        <v>170454.4535805418</v>
      </c>
      <c r="L25" s="6" t="s">
        <v>39</v>
      </c>
      <c r="N25" s="6" t="s">
        <v>3</v>
      </c>
      <c r="O25" s="10">
        <f>(0.0048*O10)/(101.3)*10</f>
        <v>2.3692003948667324E-4</v>
      </c>
      <c r="P25" s="6" t="s">
        <v>46</v>
      </c>
    </row>
    <row r="26" spans="2:16" x14ac:dyDescent="0.25">
      <c r="B26" s="6" t="s">
        <v>4</v>
      </c>
      <c r="C26" s="8">
        <f>3600/(O15/C7)</f>
        <v>16.274235840795459</v>
      </c>
      <c r="D26" s="6"/>
      <c r="E26" s="17">
        <f>E7*60</f>
        <v>4882.2707522386372</v>
      </c>
      <c r="F26" s="6" t="s">
        <v>4</v>
      </c>
      <c r="G26" s="8">
        <f>E26*Kendte!D5*Kendte!D4*Temperaturer!H6</f>
        <v>93460.649903552665</v>
      </c>
      <c r="H26" s="6" t="s">
        <v>39</v>
      </c>
      <c r="J26" s="6" t="s">
        <v>4</v>
      </c>
      <c r="K26" s="10">
        <f t="shared" si="1"/>
        <v>93460.649903552723</v>
      </c>
      <c r="L26" s="6" t="s">
        <v>39</v>
      </c>
      <c r="N26" s="6" t="s">
        <v>4</v>
      </c>
      <c r="O26" s="10">
        <f>(0.0061*O10)/(101.3)*10</f>
        <v>3.0108588351431394E-4</v>
      </c>
      <c r="P26" s="6" t="s">
        <v>46</v>
      </c>
    </row>
    <row r="27" spans="2:16" x14ac:dyDescent="0.25">
      <c r="B27" s="6" t="s">
        <v>5</v>
      </c>
      <c r="C27" s="8">
        <f>3600/(O15/C8)</f>
        <v>10.505685970563297</v>
      </c>
      <c r="D27" s="6"/>
      <c r="E27" s="17">
        <f>E8*60</f>
        <v>3151.7057911689894</v>
      </c>
      <c r="F27" s="6" t="s">
        <v>5</v>
      </c>
      <c r="G27" s="8">
        <f>E27*Kendte!D5*Kendte!D4*Temperaturer!H7</f>
        <v>53058.525755519171</v>
      </c>
      <c r="H27" s="6" t="s">
        <v>39</v>
      </c>
      <c r="J27" s="6" t="s">
        <v>5</v>
      </c>
      <c r="K27" s="10">
        <f t="shared" si="1"/>
        <v>53058.525755519258</v>
      </c>
      <c r="L27" s="6" t="s">
        <v>39</v>
      </c>
      <c r="N27" s="6" t="s">
        <v>5</v>
      </c>
      <c r="O27" s="10">
        <f>(0.0069*O10)/(101.3)*10</f>
        <v>3.4057255676209279E-4</v>
      </c>
      <c r="P27" s="6" t="s">
        <v>46</v>
      </c>
    </row>
    <row r="28" spans="2:16" x14ac:dyDescent="0.25">
      <c r="B28" s="6" t="s">
        <v>6</v>
      </c>
      <c r="C28" s="8">
        <f>3600/(O15/C9)</f>
        <v>4.1281108266752939</v>
      </c>
      <c r="D28" s="6"/>
      <c r="E28" s="17">
        <f t="shared" ref="E28:E35" si="2">E9*60</f>
        <v>1238.4332480025882</v>
      </c>
      <c r="F28" s="6" t="s">
        <v>6</v>
      </c>
      <c r="G28" s="8">
        <f>E28*Kendte!D5*Kendte!D4*Temperaturer!H8</f>
        <v>13787.142973035852</v>
      </c>
      <c r="H28" s="6" t="s">
        <v>39</v>
      </c>
      <c r="J28" s="6" t="s">
        <v>6</v>
      </c>
      <c r="K28" s="10">
        <f t="shared" si="1"/>
        <v>13787.142973036005</v>
      </c>
      <c r="L28" s="6" t="s">
        <v>39</v>
      </c>
      <c r="N28" s="6" t="s">
        <v>6</v>
      </c>
      <c r="O28" s="10">
        <f>(0.0091*O10)/(101.3)*10</f>
        <v>4.4916090819348476E-4</v>
      </c>
      <c r="P28" s="6" t="s">
        <v>46</v>
      </c>
    </row>
    <row r="29" spans="2:16" x14ac:dyDescent="0.25">
      <c r="B29" s="6" t="s">
        <v>7</v>
      </c>
      <c r="C29" s="8">
        <f>3600/(O15/C10)</f>
        <v>0.68146981225603454</v>
      </c>
      <c r="D29" s="6"/>
      <c r="E29" s="17">
        <f t="shared" si="2"/>
        <v>204.44094367681035</v>
      </c>
      <c r="F29" s="6" t="s">
        <v>7</v>
      </c>
      <c r="G29" s="8">
        <f>E29*Kendte!D5*Kendte!D4*Temperaturer!H9</f>
        <v>555.11849436564307</v>
      </c>
      <c r="H29" s="6" t="s">
        <v>39</v>
      </c>
      <c r="J29" s="6" t="s">
        <v>7</v>
      </c>
      <c r="K29" s="10">
        <f t="shared" si="1"/>
        <v>555.11849436590569</v>
      </c>
      <c r="L29" s="6" t="s">
        <v>39</v>
      </c>
      <c r="N29" s="6" t="s">
        <v>7</v>
      </c>
      <c r="O29" s="10">
        <f>(0.012*O10)/(101.3)*10</f>
        <v>5.9230009871668319E-4</v>
      </c>
      <c r="P29" s="6" t="s">
        <v>46</v>
      </c>
    </row>
    <row r="30" spans="2:16" x14ac:dyDescent="0.25">
      <c r="B30" s="6" t="s">
        <v>8</v>
      </c>
      <c r="C30" s="8" t="e">
        <f>3600/(O15/C11)</f>
        <v>#DIV/0!</v>
      </c>
      <c r="D30" s="8"/>
      <c r="E30" s="17">
        <f t="shared" si="2"/>
        <v>0</v>
      </c>
      <c r="F30" s="6" t="s">
        <v>8</v>
      </c>
      <c r="G30" s="8">
        <f>E30*Kendte!D5*Kendte!D4*Temperaturer!H10</f>
        <v>0</v>
      </c>
      <c r="H30" s="6" t="s">
        <v>39</v>
      </c>
      <c r="J30" s="6" t="s">
        <v>8</v>
      </c>
      <c r="K30" s="10">
        <f t="shared" si="1"/>
        <v>4.7178325914310245E-10</v>
      </c>
      <c r="L30" s="6" t="s">
        <v>39</v>
      </c>
      <c r="N30" s="6" t="s">
        <v>8</v>
      </c>
      <c r="O30" s="10">
        <f>(0.0162*O10)/(101.3)*10</f>
        <v>7.9960513326752213E-4</v>
      </c>
      <c r="P30" s="6" t="s">
        <v>46</v>
      </c>
    </row>
    <row r="31" spans="2:16" x14ac:dyDescent="0.25">
      <c r="B31" s="6" t="s">
        <v>9</v>
      </c>
      <c r="C31" s="8">
        <f>3600/(O15/C12)</f>
        <v>1.3802833382023698</v>
      </c>
      <c r="D31" s="6"/>
      <c r="E31" s="17">
        <f t="shared" si="2"/>
        <v>414.085001460711</v>
      </c>
      <c r="F31" s="6" t="s">
        <v>9</v>
      </c>
      <c r="G31" s="8">
        <f>E31*Kendte!D5*Kendte!D4*Temperaturer!H11</f>
        <v>1293.0197551362094</v>
      </c>
      <c r="H31" s="6" t="s">
        <v>39</v>
      </c>
      <c r="J31" s="6" t="s">
        <v>9</v>
      </c>
      <c r="K31" s="10">
        <f t="shared" si="1"/>
        <v>1293.0197551363706</v>
      </c>
      <c r="L31" s="6" t="s">
        <v>39</v>
      </c>
      <c r="N31" s="6" t="s">
        <v>9</v>
      </c>
      <c r="O31" s="10">
        <f>(0.0143*O10)/(101.3)*10</f>
        <v>7.058242843040474E-4</v>
      </c>
      <c r="P31" s="6" t="s">
        <v>46</v>
      </c>
    </row>
    <row r="32" spans="2:16" x14ac:dyDescent="0.25">
      <c r="B32" s="6" t="s">
        <v>10</v>
      </c>
      <c r="C32" s="8">
        <f>3600/(O15/C13)</f>
        <v>2.127290900420864</v>
      </c>
      <c r="D32" s="6"/>
      <c r="E32" s="17">
        <f t="shared" si="2"/>
        <v>638.18727012625925</v>
      </c>
      <c r="F32" s="6" t="s">
        <v>10</v>
      </c>
      <c r="G32" s="8">
        <f>E32*Kendte!D5*Kendte!D4*Temperaturer!H12</f>
        <v>3032.5223155042054</v>
      </c>
      <c r="H32" s="6" t="s">
        <v>39</v>
      </c>
      <c r="J32" s="6" t="s">
        <v>10</v>
      </c>
      <c r="K32" s="10">
        <f t="shared" si="1"/>
        <v>3032.5223155045505</v>
      </c>
      <c r="L32" s="6" t="s">
        <v>39</v>
      </c>
      <c r="N32" s="6" t="s">
        <v>10</v>
      </c>
      <c r="O32" s="10">
        <f>(0.0141*O10)/(101.3)*10</f>
        <v>6.9595261599210271E-4</v>
      </c>
      <c r="P32" s="6" t="s">
        <v>46</v>
      </c>
    </row>
    <row r="33" spans="2:17" x14ac:dyDescent="0.25">
      <c r="B33" s="6" t="s">
        <v>11</v>
      </c>
      <c r="C33" s="8">
        <f>3600/(O15/C14)</f>
        <v>7.6324618972675875</v>
      </c>
      <c r="D33" s="6"/>
      <c r="E33" s="17">
        <f t="shared" si="2"/>
        <v>2289.7385691802765</v>
      </c>
      <c r="F33" s="6" t="s">
        <v>11</v>
      </c>
      <c r="G33" s="8">
        <f>E33*Kendte!D5*Kendte!D4*Temperaturer!H13</f>
        <v>23004.11040651226</v>
      </c>
      <c r="H33" s="6" t="s">
        <v>39</v>
      </c>
      <c r="J33" s="6" t="s">
        <v>11</v>
      </c>
      <c r="K33" s="10">
        <f t="shared" si="1"/>
        <v>23004.110406512489</v>
      </c>
      <c r="L33" s="6" t="s">
        <v>39</v>
      </c>
      <c r="N33" s="6" t="s">
        <v>11</v>
      </c>
      <c r="O33" s="10">
        <f>(0.0121*O10)/(101.3)*10</f>
        <v>5.9723593287265542E-4</v>
      </c>
      <c r="P33" s="6" t="s">
        <v>46</v>
      </c>
    </row>
    <row r="34" spans="2:17" x14ac:dyDescent="0.25">
      <c r="B34" s="6" t="s">
        <v>12</v>
      </c>
      <c r="C34" s="8">
        <f>3600/(O15/C15)</f>
        <v>13.150525566238068</v>
      </c>
      <c r="D34" s="6"/>
      <c r="E34" s="17">
        <f t="shared" si="2"/>
        <v>3945.1576698714211</v>
      </c>
      <c r="F34" s="6" t="s">
        <v>12</v>
      </c>
      <c r="G34" s="8">
        <f>E34*Kendte!D5*Kendte!D4*Temperaturer!H14</f>
        <v>59988.805077610465</v>
      </c>
      <c r="H34" s="6" t="s">
        <v>39</v>
      </c>
      <c r="J34" s="6" t="s">
        <v>12</v>
      </c>
      <c r="K34" s="10">
        <f t="shared" si="1"/>
        <v>59988.805077610719</v>
      </c>
      <c r="L34" s="6" t="s">
        <v>39</v>
      </c>
      <c r="N34" s="6" t="s">
        <v>12</v>
      </c>
      <c r="O34" s="10">
        <f>(0.0103*O10)/(101.3)*10</f>
        <v>5.0839091806515304E-4</v>
      </c>
      <c r="P34" s="6" t="s">
        <v>46</v>
      </c>
    </row>
    <row r="35" spans="2:17" x14ac:dyDescent="0.25">
      <c r="B35" s="6" t="s">
        <v>13</v>
      </c>
      <c r="C35" s="8">
        <f>3600/(O15/C16)</f>
        <v>19.864845027263403</v>
      </c>
      <c r="D35" s="6"/>
      <c r="E35" s="17">
        <f t="shared" si="2"/>
        <v>5959.4535081790218</v>
      </c>
      <c r="F35" s="6" t="s">
        <v>13</v>
      </c>
      <c r="G35" s="8">
        <f>E35*Kendte!D5*Kendte!D4*Temperaturer!H15</f>
        <v>128644.54768053006</v>
      </c>
      <c r="H35" s="6" t="s">
        <v>39</v>
      </c>
      <c r="J35" s="6" t="s">
        <v>13</v>
      </c>
      <c r="K35" s="10">
        <f t="shared" si="1"/>
        <v>128644.54768053013</v>
      </c>
      <c r="L35" s="6" t="s">
        <v>39</v>
      </c>
      <c r="N35" s="6" t="s">
        <v>13</v>
      </c>
      <c r="O35" s="10">
        <f>(0.0073*O10)/(101.3)*10</f>
        <v>3.6031589338598221E-4</v>
      </c>
      <c r="P35" s="6" t="s">
        <v>46</v>
      </c>
    </row>
    <row r="37" spans="2:17" x14ac:dyDescent="0.25">
      <c r="F37" s="6"/>
      <c r="G37" s="6" t="s">
        <v>41</v>
      </c>
      <c r="H37" s="6"/>
      <c r="J37" s="6"/>
      <c r="K37" s="20" t="s">
        <v>55</v>
      </c>
      <c r="L37" s="21"/>
      <c r="N37" s="6"/>
      <c r="O37" s="6" t="s">
        <v>59</v>
      </c>
      <c r="P37" s="6"/>
      <c r="Q37" s="11" t="s">
        <v>63</v>
      </c>
    </row>
    <row r="38" spans="2:17" x14ac:dyDescent="0.25">
      <c r="F38" s="19" t="s">
        <v>0</v>
      </c>
      <c r="G38" s="6" t="s">
        <v>49</v>
      </c>
      <c r="H38" s="6"/>
      <c r="J38" s="19" t="s">
        <v>0</v>
      </c>
      <c r="K38" s="6"/>
      <c r="L38" s="6"/>
      <c r="N38" s="6" t="s">
        <v>0</v>
      </c>
      <c r="O38" s="6"/>
      <c r="P38" s="6"/>
      <c r="Q38" s="11">
        <v>3600</v>
      </c>
    </row>
    <row r="39" spans="2:17" x14ac:dyDescent="0.25">
      <c r="F39" s="6" t="s">
        <v>2</v>
      </c>
      <c r="G39" s="10">
        <f>Egenskaber!D21*(Egenskaber!D4-O24)</f>
        <v>1.0666362104771394E-7</v>
      </c>
      <c r="H39" s="6" t="s">
        <v>40</v>
      </c>
      <c r="J39" s="6" t="s">
        <v>2</v>
      </c>
      <c r="K39" s="10">
        <f>O16*K24</f>
        <v>218831485.28469834</v>
      </c>
      <c r="L39" s="6" t="s">
        <v>62</v>
      </c>
      <c r="N39" s="6" t="s">
        <v>2</v>
      </c>
      <c r="O39" s="10">
        <f>K39/Q38</f>
        <v>60786.523690193986</v>
      </c>
      <c r="P39" s="6" t="s">
        <v>57</v>
      </c>
      <c r="Q39" s="6" t="s">
        <v>58</v>
      </c>
    </row>
    <row r="40" spans="2:17" x14ac:dyDescent="0.25">
      <c r="F40" s="6" t="s">
        <v>3</v>
      </c>
      <c r="G40" s="10">
        <f>Egenskaber!D22*(Egenskaber!D5-O25)</f>
        <v>8.4000655810204793E-8</v>
      </c>
      <c r="H40" s="6" t="s">
        <v>40</v>
      </c>
      <c r="J40" s="6" t="s">
        <v>3</v>
      </c>
      <c r="K40" s="10">
        <f>O16*K25</f>
        <v>265908947.5856452</v>
      </c>
      <c r="L40" s="6" t="s">
        <v>62</v>
      </c>
      <c r="N40" s="6" t="s">
        <v>3</v>
      </c>
      <c r="O40" s="10">
        <f>K40/Q38</f>
        <v>73863.596551568116</v>
      </c>
      <c r="P40" s="6" t="s">
        <v>57</v>
      </c>
      <c r="Q40" s="6"/>
    </row>
    <row r="41" spans="2:17" x14ac:dyDescent="0.25">
      <c r="F41" s="6" t="s">
        <v>4</v>
      </c>
      <c r="G41" s="10">
        <f>Egenskaber!D22*(Egenskaber!D5-O26)</f>
        <v>5.0949550315874817E-8</v>
      </c>
      <c r="H41" s="6" t="s">
        <v>40</v>
      </c>
      <c r="J41" s="6" t="s">
        <v>4</v>
      </c>
      <c r="K41" s="10">
        <f>O16*K26</f>
        <v>145798613.84954226</v>
      </c>
      <c r="L41" s="6" t="s">
        <v>62</v>
      </c>
      <c r="N41" s="6" t="s">
        <v>4</v>
      </c>
      <c r="O41" s="10">
        <f>K41/Q38</f>
        <v>40499.614958206184</v>
      </c>
      <c r="P41" s="6" t="s">
        <v>57</v>
      </c>
      <c r="Q41" s="6"/>
    </row>
    <row r="42" spans="2:17" x14ac:dyDescent="0.25">
      <c r="F42" s="6" t="s">
        <v>5</v>
      </c>
      <c r="G42" s="10">
        <f>Egenskaber!D24*(Egenskaber!D7-O26)</f>
        <v>8.4849194891354102E-8</v>
      </c>
      <c r="H42" s="6" t="s">
        <v>40</v>
      </c>
      <c r="J42" s="6" t="s">
        <v>5</v>
      </c>
      <c r="K42" s="10">
        <f>O16*K27</f>
        <v>82771300.178610042</v>
      </c>
      <c r="L42" s="6" t="s">
        <v>62</v>
      </c>
      <c r="N42" s="6" t="s">
        <v>5</v>
      </c>
      <c r="O42" s="10">
        <f>K42/Q38</f>
        <v>22992.027827391677</v>
      </c>
      <c r="P42" s="6" t="s">
        <v>57</v>
      </c>
      <c r="Q42" s="6"/>
    </row>
    <row r="43" spans="2:17" x14ac:dyDescent="0.25">
      <c r="F43" s="6" t="s">
        <v>6</v>
      </c>
      <c r="G43" s="10">
        <f>Egenskaber!D25*(Egenskaber!D8-O27)</f>
        <v>1.5332232290300661E-7</v>
      </c>
      <c r="H43" s="6" t="s">
        <v>40</v>
      </c>
      <c r="J43" s="6" t="s">
        <v>6</v>
      </c>
      <c r="K43" s="10">
        <f>O16*K28</f>
        <v>21507943.03793617</v>
      </c>
      <c r="L43" s="6" t="s">
        <v>62</v>
      </c>
      <c r="N43" s="6" t="s">
        <v>6</v>
      </c>
      <c r="O43" s="10">
        <f>K43/Q38</f>
        <v>5974.4286216489363</v>
      </c>
      <c r="P43" s="6" t="s">
        <v>57</v>
      </c>
      <c r="Q43" s="6"/>
    </row>
    <row r="44" spans="2:17" x14ac:dyDescent="0.25">
      <c r="F44" s="6" t="s">
        <v>7</v>
      </c>
      <c r="G44" s="10">
        <f>Egenskaber!D26*(Egenskaber!D9-O28)</f>
        <v>2.6267164691733959E-7</v>
      </c>
      <c r="H44" s="6" t="s">
        <v>40</v>
      </c>
      <c r="J44" s="6" t="s">
        <v>7</v>
      </c>
      <c r="K44" s="10">
        <f>O16*K29</f>
        <v>865984.85121081292</v>
      </c>
      <c r="L44" s="6" t="s">
        <v>62</v>
      </c>
      <c r="N44" s="6" t="s">
        <v>7</v>
      </c>
      <c r="O44" s="10">
        <f>K44/Q38</f>
        <v>240.55134755855914</v>
      </c>
      <c r="P44" s="6" t="s">
        <v>57</v>
      </c>
      <c r="Q44" s="6"/>
    </row>
    <row r="45" spans="2:17" x14ac:dyDescent="0.25">
      <c r="F45" s="6" t="s">
        <v>8</v>
      </c>
      <c r="G45" s="10">
        <f>Egenskaber!D27*(Egenskaber!D10-O29)</f>
        <v>4.7178325914310248E-7</v>
      </c>
      <c r="H45" s="6" t="s">
        <v>40</v>
      </c>
      <c r="J45" s="6" t="s">
        <v>8</v>
      </c>
      <c r="K45" s="10">
        <f>O16*K30</f>
        <v>7.359818842632398E-7</v>
      </c>
      <c r="L45" s="6" t="s">
        <v>62</v>
      </c>
      <c r="N45" s="6" t="s">
        <v>8</v>
      </c>
      <c r="O45" s="10">
        <f>K45/Q38</f>
        <v>2.0443941229534439E-10</v>
      </c>
      <c r="P45" s="6" t="s">
        <v>57</v>
      </c>
      <c r="Q45" s="6"/>
    </row>
    <row r="46" spans="2:17" x14ac:dyDescent="0.25">
      <c r="F46" s="6" t="s">
        <v>9</v>
      </c>
      <c r="G46" s="10">
        <f>Egenskaber!D28*(Egenskaber!D11-O30)</f>
        <v>1.6123473376470797E-7</v>
      </c>
      <c r="H46" s="6" t="s">
        <v>40</v>
      </c>
      <c r="J46" s="6" t="s">
        <v>9</v>
      </c>
      <c r="K46" s="10">
        <f>O16*K31</f>
        <v>2017110.8180127381</v>
      </c>
      <c r="L46" s="6" t="s">
        <v>62</v>
      </c>
      <c r="N46" s="6" t="s">
        <v>9</v>
      </c>
      <c r="O46" s="10">
        <f>K46/Q38</f>
        <v>560.30856055909396</v>
      </c>
      <c r="P46" s="6" t="s">
        <v>57</v>
      </c>
      <c r="Q46" s="6"/>
    </row>
    <row r="47" spans="2:17" x14ac:dyDescent="0.25">
      <c r="F47" s="6" t="s">
        <v>10</v>
      </c>
      <c r="G47" s="10">
        <f>Egenskaber!D29*(Egenskaber!D12-O31)</f>
        <v>3.4515142664068431E-7</v>
      </c>
      <c r="H47" s="6" t="s">
        <v>40</v>
      </c>
      <c r="J47" s="6" t="s">
        <v>10</v>
      </c>
      <c r="K47" s="10">
        <f>O16*K32</f>
        <v>4730734.8121870989</v>
      </c>
      <c r="L47" s="6" t="s">
        <v>62</v>
      </c>
      <c r="N47" s="6" t="s">
        <v>10</v>
      </c>
      <c r="O47" s="10">
        <f>K47/Q38</f>
        <v>1314.0930033853053</v>
      </c>
      <c r="P47" s="6" t="s">
        <v>57</v>
      </c>
      <c r="Q47" s="6"/>
    </row>
    <row r="48" spans="2:17" x14ac:dyDescent="0.25">
      <c r="F48" s="6" t="s">
        <v>11</v>
      </c>
      <c r="G48" s="10">
        <f>Egenskaber!D30*(Egenskaber!D13-O32)</f>
        <v>2.283965632474349E-7</v>
      </c>
      <c r="H48" s="6" t="s">
        <v>40</v>
      </c>
      <c r="J48" s="6" t="s">
        <v>11</v>
      </c>
      <c r="K48" s="10">
        <f>O16*K33</f>
        <v>35886412.234159485</v>
      </c>
      <c r="L48" s="6" t="s">
        <v>62</v>
      </c>
      <c r="N48" s="6" t="s">
        <v>11</v>
      </c>
      <c r="O48" s="10">
        <f>K48/Q38</f>
        <v>9968.4478428220791</v>
      </c>
      <c r="P48" s="6" t="s">
        <v>57</v>
      </c>
      <c r="Q48" s="6"/>
    </row>
    <row r="49" spans="6:17" x14ac:dyDescent="0.25">
      <c r="F49" s="6" t="s">
        <v>12</v>
      </c>
      <c r="G49" s="10">
        <f>Egenskaber!D31*(Egenskaber!D14-O33)</f>
        <v>2.5715221752813377E-7</v>
      </c>
      <c r="H49" s="6" t="s">
        <v>40</v>
      </c>
      <c r="J49" s="6" t="s">
        <v>12</v>
      </c>
      <c r="K49" s="10">
        <f>O16*K34</f>
        <v>93582535.921072721</v>
      </c>
      <c r="L49" s="6" t="s">
        <v>62</v>
      </c>
      <c r="N49" s="6" t="s">
        <v>12</v>
      </c>
      <c r="O49" s="10">
        <f>K49/Q38</f>
        <v>25995.148866964646</v>
      </c>
      <c r="P49" s="6" t="s">
        <v>57</v>
      </c>
      <c r="Q49" s="6"/>
    </row>
    <row r="50" spans="6:17" x14ac:dyDescent="0.25">
      <c r="F50" s="6" t="s">
        <v>13</v>
      </c>
      <c r="G50" s="10">
        <f>Egenskaber!D32*(Egenskaber!D15-O34)</f>
        <v>7.9265436981188827E-8</v>
      </c>
      <c r="H50" s="6" t="s">
        <v>40</v>
      </c>
      <c r="J50" s="6" t="s">
        <v>13</v>
      </c>
      <c r="K50" s="10">
        <f>O16*K35</f>
        <v>200685494.38162699</v>
      </c>
      <c r="L50" s="6" t="s">
        <v>62</v>
      </c>
      <c r="N50" s="6" t="s">
        <v>13</v>
      </c>
      <c r="O50" s="10">
        <f>K50/Q38</f>
        <v>55745.970661563057</v>
      </c>
      <c r="P50" s="6" t="s">
        <v>57</v>
      </c>
      <c r="Q50" s="6"/>
    </row>
    <row r="54" spans="6:17" x14ac:dyDescent="0.25">
      <c r="L54" s="6" t="s">
        <v>0</v>
      </c>
      <c r="M54" s="6" t="s">
        <v>60</v>
      </c>
      <c r="N54" s="13" t="s">
        <v>61</v>
      </c>
      <c r="O54" s="14">
        <v>0.14199999999999999</v>
      </c>
    </row>
    <row r="55" spans="6:17" x14ac:dyDescent="0.25">
      <c r="L55" s="6" t="s">
        <v>2</v>
      </c>
      <c r="M55" s="15">
        <f>O39*O54</f>
        <v>8631.6863640075444</v>
      </c>
      <c r="N55" s="6" t="s">
        <v>43</v>
      </c>
    </row>
    <row r="56" spans="6:17" x14ac:dyDescent="0.25">
      <c r="L56" s="6" t="s">
        <v>3</v>
      </c>
      <c r="M56" s="15">
        <f>O40*O54</f>
        <v>10488.630710322672</v>
      </c>
      <c r="N56" s="6" t="s">
        <v>43</v>
      </c>
    </row>
    <row r="57" spans="6:17" x14ac:dyDescent="0.25">
      <c r="L57" s="6" t="s">
        <v>4</v>
      </c>
      <c r="M57" s="15">
        <f>O41*O54</f>
        <v>5750.9453240652774</v>
      </c>
      <c r="N57" s="6" t="s">
        <v>43</v>
      </c>
    </row>
    <row r="58" spans="6:17" x14ac:dyDescent="0.25">
      <c r="L58" s="6" t="s">
        <v>5</v>
      </c>
      <c r="M58" s="15">
        <f>O42*O54</f>
        <v>3264.867951489618</v>
      </c>
      <c r="N58" s="6" t="s">
        <v>43</v>
      </c>
    </row>
    <row r="59" spans="6:17" x14ac:dyDescent="0.25">
      <c r="L59" s="6" t="s">
        <v>6</v>
      </c>
      <c r="M59" s="15">
        <f>O43*O54</f>
        <v>848.3688642741489</v>
      </c>
      <c r="N59" s="6" t="s">
        <v>43</v>
      </c>
    </row>
    <row r="60" spans="6:17" x14ac:dyDescent="0.25">
      <c r="L60" s="6" t="s">
        <v>7</v>
      </c>
      <c r="M60" s="15">
        <f>O44*O54</f>
        <v>34.158291353315398</v>
      </c>
      <c r="N60" s="6" t="s">
        <v>43</v>
      </c>
    </row>
    <row r="61" spans="6:17" x14ac:dyDescent="0.25">
      <c r="L61" s="6" t="s">
        <v>8</v>
      </c>
      <c r="M61" s="15">
        <f>O45*O54</f>
        <v>2.9030396545938902E-11</v>
      </c>
      <c r="N61" s="6" t="s">
        <v>43</v>
      </c>
    </row>
    <row r="62" spans="6:17" x14ac:dyDescent="0.25">
      <c r="L62" s="6" t="s">
        <v>9</v>
      </c>
      <c r="M62" s="15">
        <f>O46*O54</f>
        <v>79.563815599391333</v>
      </c>
      <c r="N62" s="6" t="s">
        <v>43</v>
      </c>
    </row>
    <row r="63" spans="6:17" x14ac:dyDescent="0.25">
      <c r="L63" s="6" t="s">
        <v>10</v>
      </c>
      <c r="M63" s="15">
        <f>O47*O54</f>
        <v>186.60120648071333</v>
      </c>
      <c r="N63" s="6" t="s">
        <v>43</v>
      </c>
    </row>
    <row r="64" spans="6:17" x14ac:dyDescent="0.25">
      <c r="L64" s="6" t="s">
        <v>11</v>
      </c>
      <c r="M64" s="15">
        <f>O48*O54</f>
        <v>1415.5195936807352</v>
      </c>
      <c r="N64" s="6" t="s">
        <v>43</v>
      </c>
    </row>
    <row r="65" spans="12:14" x14ac:dyDescent="0.25">
      <c r="L65" s="6" t="s">
        <v>12</v>
      </c>
      <c r="M65" s="15">
        <f>O49*O54</f>
        <v>3691.3111391089792</v>
      </c>
      <c r="N65" s="6" t="s">
        <v>43</v>
      </c>
    </row>
    <row r="66" spans="12:14" x14ac:dyDescent="0.25">
      <c r="L66" s="6" t="s">
        <v>13</v>
      </c>
      <c r="M66" s="15">
        <f>O50*O54</f>
        <v>7915.9278339419534</v>
      </c>
      <c r="N66" s="6" t="s">
        <v>43</v>
      </c>
    </row>
    <row r="67" spans="12:14" x14ac:dyDescent="0.25">
      <c r="L67" s="36" t="s">
        <v>82</v>
      </c>
      <c r="M67" s="18">
        <f>SUM(M55:M66)/12</f>
        <v>3525.6317578603648</v>
      </c>
      <c r="N67" s="22" t="s">
        <v>43</v>
      </c>
    </row>
    <row r="68" spans="12:14" x14ac:dyDescent="0.25">
      <c r="L68" s="18"/>
    </row>
    <row r="69" spans="12:14" x14ac:dyDescent="0.25">
      <c r="L69" s="25" t="s">
        <v>70</v>
      </c>
      <c r="M69" s="25">
        <f>'CO2 Beregner'!H10</f>
        <v>5</v>
      </c>
      <c r="N69" s="25"/>
    </row>
    <row r="70" spans="12:14" x14ac:dyDescent="0.25">
      <c r="L70" s="25" t="s">
        <v>71</v>
      </c>
      <c r="M70" s="26">
        <f>Kendte!C23</f>
        <v>0.43336399999999997</v>
      </c>
      <c r="N70" s="25" t="s">
        <v>43</v>
      </c>
    </row>
  </sheetData>
  <sheetProtection algorithmName="SHA-512" hashValue="eOc+8ZMIV6MZYtFM+sn4x0VstNKM5g2sV0aF7tKzfha/wruR7J5BONTV+7ABzuuf0qSzqaMJahaBMllv5+z0UA==" saltValue="gALTzFqQFHGdv/Ca1hgipQ==" spinCount="100000" sheet="1" objects="1" scenarios="1"/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78A8B-DCAF-43EE-94CA-364DD3A6A144}">
  <sheetPr codeName="Sheet3"/>
  <dimension ref="C1:H15"/>
  <sheetViews>
    <sheetView workbookViewId="0">
      <selection activeCell="D14" sqref="D14 F14"/>
    </sheetView>
  </sheetViews>
  <sheetFormatPr defaultRowHeight="15" x14ac:dyDescent="0.25"/>
  <cols>
    <col min="3" max="3" width="11.5703125" bestFit="1" customWidth="1"/>
    <col min="4" max="4" width="10" bestFit="1" customWidth="1"/>
  </cols>
  <sheetData>
    <row r="1" spans="3:8" x14ac:dyDescent="0.25">
      <c r="C1" t="s">
        <v>14</v>
      </c>
    </row>
    <row r="3" spans="3:8" x14ac:dyDescent="0.25">
      <c r="C3" t="s">
        <v>0</v>
      </c>
      <c r="D3" t="s">
        <v>1</v>
      </c>
      <c r="F3" t="s">
        <v>28</v>
      </c>
      <c r="H3" t="s">
        <v>29</v>
      </c>
    </row>
    <row r="4" spans="3:8" x14ac:dyDescent="0.25">
      <c r="C4" t="s">
        <v>2</v>
      </c>
      <c r="D4" s="1">
        <v>0.87</v>
      </c>
      <c r="F4" s="1">
        <f>Oversigt!O9%</f>
        <v>0.5</v>
      </c>
      <c r="H4">
        <f>D4-F4</f>
        <v>0.37</v>
      </c>
    </row>
    <row r="5" spans="3:8" x14ac:dyDescent="0.25">
      <c r="C5" t="s">
        <v>3</v>
      </c>
      <c r="D5" s="1">
        <v>0.87</v>
      </c>
      <c r="F5" s="1">
        <f>Oversigt!O9%</f>
        <v>0.5</v>
      </c>
      <c r="H5">
        <f t="shared" ref="H5:H15" si="0">D5-F5</f>
        <v>0.37</v>
      </c>
    </row>
    <row r="6" spans="3:8" x14ac:dyDescent="0.25">
      <c r="C6" t="s">
        <v>4</v>
      </c>
      <c r="D6" s="1">
        <v>0.82</v>
      </c>
      <c r="F6" s="1">
        <f>Oversigt!O9%</f>
        <v>0.5</v>
      </c>
      <c r="H6">
        <f t="shared" si="0"/>
        <v>0.31999999999999995</v>
      </c>
    </row>
    <row r="7" spans="3:8" x14ac:dyDescent="0.25">
      <c r="C7" t="s">
        <v>5</v>
      </c>
      <c r="D7" s="1">
        <v>0.73</v>
      </c>
      <c r="F7" s="1">
        <f>Oversigt!O9%</f>
        <v>0.5</v>
      </c>
      <c r="H7">
        <f t="shared" si="0"/>
        <v>0.22999999999999998</v>
      </c>
    </row>
    <row r="8" spans="3:8" x14ac:dyDescent="0.25">
      <c r="C8" t="s">
        <v>6</v>
      </c>
      <c r="D8" s="1">
        <v>0.66</v>
      </c>
      <c r="F8" s="1">
        <f>Oversigt!O9%</f>
        <v>0.5</v>
      </c>
      <c r="H8">
        <f t="shared" si="0"/>
        <v>0.16000000000000003</v>
      </c>
    </row>
    <row r="9" spans="3:8" x14ac:dyDescent="0.25">
      <c r="C9" t="s">
        <v>7</v>
      </c>
      <c r="D9" s="1">
        <v>0.62</v>
      </c>
      <c r="F9" s="1">
        <f>Oversigt!O9%</f>
        <v>0.5</v>
      </c>
      <c r="H9">
        <f t="shared" si="0"/>
        <v>0.12</v>
      </c>
    </row>
    <row r="10" spans="3:8" x14ac:dyDescent="0.25">
      <c r="C10" t="s">
        <v>8</v>
      </c>
      <c r="D10" s="1">
        <v>0.63</v>
      </c>
      <c r="F10" s="1">
        <f>Oversigt!O9%</f>
        <v>0.5</v>
      </c>
      <c r="H10">
        <f t="shared" si="0"/>
        <v>0.13</v>
      </c>
    </row>
    <row r="11" spans="3:8" x14ac:dyDescent="0.25">
      <c r="C11" t="s">
        <v>9</v>
      </c>
      <c r="D11" s="1">
        <v>0.67</v>
      </c>
      <c r="F11" s="1">
        <f>Oversigt!O9%</f>
        <v>0.5</v>
      </c>
      <c r="H11">
        <f t="shared" si="0"/>
        <v>0.17000000000000004</v>
      </c>
    </row>
    <row r="12" spans="3:8" x14ac:dyDescent="0.25">
      <c r="C12" t="s">
        <v>10</v>
      </c>
      <c r="D12" s="1">
        <v>0.72</v>
      </c>
      <c r="F12" s="1">
        <f>Oversigt!O9%</f>
        <v>0.5</v>
      </c>
      <c r="H12">
        <f t="shared" si="0"/>
        <v>0.21999999999999997</v>
      </c>
    </row>
    <row r="13" spans="3:8" x14ac:dyDescent="0.25">
      <c r="C13" t="s">
        <v>11</v>
      </c>
      <c r="D13" s="1">
        <v>0.78</v>
      </c>
      <c r="F13" s="1">
        <f>Oversigt!O9%</f>
        <v>0.5</v>
      </c>
      <c r="H13">
        <f t="shared" si="0"/>
        <v>0.28000000000000003</v>
      </c>
    </row>
    <row r="14" spans="3:8" x14ac:dyDescent="0.25">
      <c r="C14" t="s">
        <v>12</v>
      </c>
      <c r="D14" s="1">
        <v>0.84</v>
      </c>
      <c r="F14" s="1">
        <f>Oversigt!O9%</f>
        <v>0.5</v>
      </c>
      <c r="H14">
        <f t="shared" si="0"/>
        <v>0.33999999999999997</v>
      </c>
    </row>
    <row r="15" spans="3:8" x14ac:dyDescent="0.25">
      <c r="C15" t="s">
        <v>13</v>
      </c>
      <c r="D15" s="1">
        <v>0.87</v>
      </c>
      <c r="F15" s="1">
        <f>Oversigt!O9%</f>
        <v>0.5</v>
      </c>
      <c r="H15">
        <f t="shared" si="0"/>
        <v>0.37</v>
      </c>
    </row>
  </sheetData>
  <sheetProtection algorithmName="SHA-512" hashValue="VZeD2+DykxOPvmLtGsapRV2r7SHbIm0jf8kQrjLGf/HSznw0FFi1JRgfK8/BFxhcNoE8pNRPJb1jh+DgFYqwqw==" saltValue="4ttrRUOwBUZKoKz6hLjpOQ==" spinCount="100000" sheet="1" objects="1" scenarios="1"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B38EE-04D7-460F-8CDF-B78D60FDF489}">
  <sheetPr codeName="Sheet4"/>
  <dimension ref="C1:F15"/>
  <sheetViews>
    <sheetView workbookViewId="0">
      <selection activeCell="F8" sqref="F8"/>
    </sheetView>
  </sheetViews>
  <sheetFormatPr defaultRowHeight="15" x14ac:dyDescent="0.25"/>
  <cols>
    <col min="3" max="3" width="11.5703125" bestFit="1" customWidth="1"/>
    <col min="4" max="4" width="23.42578125" bestFit="1" customWidth="1"/>
  </cols>
  <sheetData>
    <row r="1" spans="3:6" x14ac:dyDescent="0.25">
      <c r="C1" t="s">
        <v>14</v>
      </c>
    </row>
    <row r="3" spans="3:6" x14ac:dyDescent="0.25">
      <c r="C3" t="s">
        <v>0</v>
      </c>
      <c r="D3" t="s">
        <v>16</v>
      </c>
      <c r="F3" t="s">
        <v>30</v>
      </c>
    </row>
    <row r="4" spans="3:6" x14ac:dyDescent="0.25">
      <c r="C4" t="s">
        <v>2</v>
      </c>
      <c r="D4">
        <v>4.0999999999999996</v>
      </c>
      <c r="F4">
        <f>D4*60</f>
        <v>245.99999999999997</v>
      </c>
    </row>
    <row r="5" spans="3:6" x14ac:dyDescent="0.25">
      <c r="C5" t="s">
        <v>3</v>
      </c>
      <c r="D5">
        <v>4.5999999999999996</v>
      </c>
      <c r="F5">
        <f t="shared" ref="F5:F15" si="0">D5*60</f>
        <v>276</v>
      </c>
    </row>
    <row r="6" spans="3:6" x14ac:dyDescent="0.25">
      <c r="C6" t="s">
        <v>4</v>
      </c>
      <c r="D6">
        <v>4.7</v>
      </c>
      <c r="F6">
        <f t="shared" si="0"/>
        <v>282</v>
      </c>
    </row>
    <row r="7" spans="3:6" x14ac:dyDescent="0.25">
      <c r="C7" t="s">
        <v>5</v>
      </c>
      <c r="D7">
        <v>4.8</v>
      </c>
      <c r="F7">
        <f t="shared" si="0"/>
        <v>288</v>
      </c>
    </row>
    <row r="8" spans="3:6" x14ac:dyDescent="0.25">
      <c r="C8" t="s">
        <v>6</v>
      </c>
      <c r="D8">
        <v>4.0999999999999996</v>
      </c>
      <c r="F8">
        <f t="shared" si="0"/>
        <v>245.99999999999997</v>
      </c>
    </row>
    <row r="9" spans="3:6" x14ac:dyDescent="0.25">
      <c r="C9" t="s">
        <v>7</v>
      </c>
      <c r="D9">
        <v>3.7</v>
      </c>
      <c r="F9">
        <f t="shared" si="0"/>
        <v>222</v>
      </c>
    </row>
    <row r="10" spans="3:6" x14ac:dyDescent="0.25">
      <c r="C10" t="s">
        <v>8</v>
      </c>
      <c r="D10">
        <v>3.8</v>
      </c>
      <c r="F10">
        <f t="shared" si="0"/>
        <v>228</v>
      </c>
    </row>
    <row r="11" spans="3:6" x14ac:dyDescent="0.25">
      <c r="C11" t="s">
        <v>9</v>
      </c>
      <c r="D11">
        <v>4.5999999999999996</v>
      </c>
      <c r="F11">
        <f t="shared" si="0"/>
        <v>276</v>
      </c>
    </row>
    <row r="12" spans="3:6" x14ac:dyDescent="0.25">
      <c r="C12" t="s">
        <v>10</v>
      </c>
      <c r="D12">
        <v>3.6</v>
      </c>
      <c r="F12">
        <f t="shared" si="0"/>
        <v>216</v>
      </c>
    </row>
    <row r="13" spans="3:6" x14ac:dyDescent="0.25">
      <c r="C13" t="s">
        <v>11</v>
      </c>
      <c r="D13">
        <v>4.8</v>
      </c>
      <c r="F13">
        <f t="shared" si="0"/>
        <v>288</v>
      </c>
    </row>
    <row r="14" spans="3:6" x14ac:dyDescent="0.25">
      <c r="C14" t="s">
        <v>12</v>
      </c>
      <c r="D14">
        <v>4.5</v>
      </c>
      <c r="F14">
        <f t="shared" si="0"/>
        <v>270</v>
      </c>
    </row>
    <row r="15" spans="3:6" x14ac:dyDescent="0.25">
      <c r="C15" t="s">
        <v>13</v>
      </c>
      <c r="D15">
        <v>4.4000000000000004</v>
      </c>
      <c r="F15">
        <f t="shared" si="0"/>
        <v>264</v>
      </c>
    </row>
  </sheetData>
  <sheetProtection algorithmName="SHA-512" hashValue="hAi7B7X14hv+ihqu5khS0CfJpuz4q4vgB/ORU8FDaG0czO6+kg+MCf3t9BRdevIDuO8XXaUFa+GntFAuOoh1Rg==" saltValue="Qa3NcJRlMNltAW44EzaKpw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6E422-69E3-4255-B79F-65A4F595B529}">
  <sheetPr codeName="Sheet5"/>
  <dimension ref="C1:K15"/>
  <sheetViews>
    <sheetView workbookViewId="0">
      <selection activeCell="H4" sqref="H4:H15"/>
    </sheetView>
  </sheetViews>
  <sheetFormatPr defaultRowHeight="15" x14ac:dyDescent="0.25"/>
  <cols>
    <col min="3" max="3" width="11.5703125" bestFit="1" customWidth="1"/>
    <col min="4" max="4" width="15.28515625" bestFit="1" customWidth="1"/>
    <col min="6" max="6" width="9.85546875" bestFit="1" customWidth="1"/>
  </cols>
  <sheetData>
    <row r="1" spans="3:11" x14ac:dyDescent="0.25">
      <c r="C1" t="s">
        <v>14</v>
      </c>
    </row>
    <row r="3" spans="3:11" x14ac:dyDescent="0.25">
      <c r="C3" t="s">
        <v>0</v>
      </c>
      <c r="D3" t="s">
        <v>15</v>
      </c>
      <c r="F3" t="s">
        <v>65</v>
      </c>
      <c r="H3" t="s">
        <v>64</v>
      </c>
    </row>
    <row r="4" spans="3:11" x14ac:dyDescent="0.25">
      <c r="C4" t="s">
        <v>2</v>
      </c>
      <c r="D4">
        <v>0.8</v>
      </c>
      <c r="F4">
        <f>'CO2 Beregner'!E10</f>
        <v>18</v>
      </c>
      <c r="H4">
        <f>MAX(0,F4-(D4))</f>
        <v>17.2</v>
      </c>
      <c r="K4">
        <f>MAX(0,D4-F4)</f>
        <v>0</v>
      </c>
    </row>
    <row r="5" spans="3:11" x14ac:dyDescent="0.25">
      <c r="C5" t="s">
        <v>3</v>
      </c>
      <c r="D5">
        <v>0.1</v>
      </c>
      <c r="F5">
        <f>'CO2 Beregner'!E10</f>
        <v>18</v>
      </c>
      <c r="H5">
        <f t="shared" ref="H5:H15" si="0">MAX(0,F5-(D5))</f>
        <v>17.899999999999999</v>
      </c>
    </row>
    <row r="6" spans="3:11" x14ac:dyDescent="0.25">
      <c r="C6" t="s">
        <v>4</v>
      </c>
      <c r="D6">
        <v>3.9</v>
      </c>
      <c r="F6">
        <f>'CO2 Beregner'!E10</f>
        <v>18</v>
      </c>
      <c r="H6">
        <f t="shared" si="0"/>
        <v>14.1</v>
      </c>
    </row>
    <row r="7" spans="3:11" x14ac:dyDescent="0.25">
      <c r="C7" t="s">
        <v>5</v>
      </c>
      <c r="D7">
        <v>5.6</v>
      </c>
      <c r="F7">
        <f>'CO2 Beregner'!E10</f>
        <v>18</v>
      </c>
      <c r="H7">
        <f t="shared" si="0"/>
        <v>12.4</v>
      </c>
    </row>
    <row r="8" spans="3:11" x14ac:dyDescent="0.25">
      <c r="C8" t="s">
        <v>6</v>
      </c>
      <c r="D8">
        <v>9.8000000000000007</v>
      </c>
      <c r="F8">
        <f>'CO2 Beregner'!E10</f>
        <v>18</v>
      </c>
      <c r="H8">
        <f t="shared" si="0"/>
        <v>8.1999999999999993</v>
      </c>
    </row>
    <row r="9" spans="3:11" x14ac:dyDescent="0.25">
      <c r="C9" t="s">
        <v>7</v>
      </c>
      <c r="D9">
        <v>16</v>
      </c>
      <c r="F9">
        <f>'CO2 Beregner'!E10</f>
        <v>18</v>
      </c>
      <c r="H9">
        <f t="shared" si="0"/>
        <v>2</v>
      </c>
    </row>
    <row r="10" spans="3:11" x14ac:dyDescent="0.25">
      <c r="C10" t="s">
        <v>8</v>
      </c>
      <c r="D10">
        <v>21.36</v>
      </c>
      <c r="F10">
        <f>'CO2 Beregner'!E10</f>
        <v>18</v>
      </c>
      <c r="H10">
        <f t="shared" si="0"/>
        <v>0</v>
      </c>
    </row>
    <row r="11" spans="3:11" x14ac:dyDescent="0.25">
      <c r="C11" t="s">
        <v>9</v>
      </c>
      <c r="D11">
        <v>15.7</v>
      </c>
      <c r="F11">
        <f>'CO2 Beregner'!E10</f>
        <v>18</v>
      </c>
      <c r="H11">
        <f t="shared" si="0"/>
        <v>2.3000000000000007</v>
      </c>
    </row>
    <row r="12" spans="3:11" x14ac:dyDescent="0.25">
      <c r="C12" t="s">
        <v>10</v>
      </c>
      <c r="D12">
        <v>14.5</v>
      </c>
      <c r="F12">
        <f>'CO2 Beregner'!E10</f>
        <v>18</v>
      </c>
      <c r="H12">
        <f t="shared" si="0"/>
        <v>3.5</v>
      </c>
    </row>
    <row r="13" spans="3:11" x14ac:dyDescent="0.25">
      <c r="C13" t="s">
        <v>11</v>
      </c>
      <c r="D13">
        <v>10.6</v>
      </c>
      <c r="F13">
        <f>'CO2 Beregner'!E10</f>
        <v>18</v>
      </c>
      <c r="H13">
        <f t="shared" si="0"/>
        <v>7.4</v>
      </c>
    </row>
    <row r="14" spans="3:11" x14ac:dyDescent="0.25">
      <c r="C14" t="s">
        <v>12</v>
      </c>
      <c r="D14">
        <v>6.8</v>
      </c>
      <c r="F14">
        <f>'CO2 Beregner'!E10</f>
        <v>18</v>
      </c>
      <c r="H14">
        <f t="shared" si="0"/>
        <v>11.2</v>
      </c>
    </row>
    <row r="15" spans="3:11" x14ac:dyDescent="0.25">
      <c r="C15" t="s">
        <v>13</v>
      </c>
      <c r="D15">
        <v>2.1</v>
      </c>
      <c r="F15">
        <f>'CO2 Beregner'!E10</f>
        <v>18</v>
      </c>
      <c r="H15">
        <f t="shared" si="0"/>
        <v>15.9</v>
      </c>
    </row>
  </sheetData>
  <sheetProtection algorithmName="SHA-512" hashValue="GP48A40Sq+ZC7QUAe+ZcOWgHb0mC+nA14TcYdNG6h8hsNFq2sfgrzkVP0bCaUrZAF0eB3+VMpDs4C9Y5NulJ2A==" saltValue="RTeFOAD4PjEEYgN17lkkI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69F7D-EB4F-414F-9C92-EA2BA63F725F}">
  <sheetPr codeName="Sheet6"/>
  <dimension ref="C3:I32"/>
  <sheetViews>
    <sheetView workbookViewId="0">
      <selection activeCell="D21" sqref="D21"/>
    </sheetView>
  </sheetViews>
  <sheetFormatPr defaultRowHeight="15" x14ac:dyDescent="0.25"/>
  <cols>
    <col min="1" max="1" width="5.85546875" customWidth="1"/>
    <col min="2" max="2" width="12" customWidth="1"/>
    <col min="3" max="3" width="10.42578125" bestFit="1" customWidth="1"/>
    <col min="4" max="4" width="24.140625" bestFit="1" customWidth="1"/>
    <col min="8" max="8" width="15.5703125" bestFit="1" customWidth="1"/>
  </cols>
  <sheetData>
    <row r="3" spans="3:9" x14ac:dyDescent="0.25">
      <c r="C3" t="s">
        <v>0</v>
      </c>
      <c r="D3" t="s">
        <v>42</v>
      </c>
      <c r="G3" t="s">
        <v>0</v>
      </c>
      <c r="H3" t="s">
        <v>44</v>
      </c>
    </row>
    <row r="4" spans="3:9" x14ac:dyDescent="0.25">
      <c r="C4" t="s">
        <v>2</v>
      </c>
      <c r="D4" s="5">
        <v>4.4999999999999999E-4</v>
      </c>
      <c r="E4" t="s">
        <v>46</v>
      </c>
      <c r="G4" t="s">
        <v>2</v>
      </c>
      <c r="H4" s="4">
        <f>(101.3*1/(287.05*273.15))*1000</f>
        <v>1.2919648237387888</v>
      </c>
      <c r="I4" t="s">
        <v>45</v>
      </c>
    </row>
    <row r="5" spans="3:9" x14ac:dyDescent="0.25">
      <c r="C5" t="s">
        <v>3</v>
      </c>
      <c r="D5" s="5">
        <v>4.0000000000000002E-4</v>
      </c>
      <c r="E5" t="s">
        <v>46</v>
      </c>
      <c r="G5" t="s">
        <v>3</v>
      </c>
      <c r="H5" s="4">
        <f>(101.3*1/(287.05*274.05))*1000</f>
        <v>1.2877219179137023</v>
      </c>
      <c r="I5" t="s">
        <v>45</v>
      </c>
    </row>
    <row r="6" spans="3:9" x14ac:dyDescent="0.25">
      <c r="C6" t="s">
        <v>4</v>
      </c>
      <c r="D6" s="5">
        <v>4.2000000000000002E-4</v>
      </c>
      <c r="E6" t="s">
        <v>46</v>
      </c>
      <c r="G6" t="s">
        <v>4</v>
      </c>
      <c r="H6" s="4">
        <f>(101.3*1/(287.05*276.05))*1000</f>
        <v>1.278392289817968</v>
      </c>
      <c r="I6" t="s">
        <v>45</v>
      </c>
    </row>
    <row r="7" spans="3:9" x14ac:dyDescent="0.25">
      <c r="C7" t="s">
        <v>5</v>
      </c>
      <c r="D7" s="5">
        <v>4.4999999999999999E-4</v>
      </c>
      <c r="E7" t="s">
        <v>46</v>
      </c>
      <c r="G7" t="s">
        <v>5</v>
      </c>
      <c r="H7" s="4">
        <f>(101.3*1/(287.05*278.71))*1000</f>
        <v>1.266191351599333</v>
      </c>
      <c r="I7" t="s">
        <v>45</v>
      </c>
    </row>
    <row r="8" spans="3:9" x14ac:dyDescent="0.25">
      <c r="C8" t="s">
        <v>6</v>
      </c>
      <c r="D8" s="5">
        <v>5.5999999999999995E-4</v>
      </c>
      <c r="E8" t="s">
        <v>46</v>
      </c>
      <c r="G8" t="s">
        <v>6</v>
      </c>
      <c r="H8" s="4">
        <f>(101.3*1/(287.05*282.83))*1000</f>
        <v>1.2477466732816536</v>
      </c>
      <c r="I8" t="s">
        <v>45</v>
      </c>
    </row>
    <row r="9" spans="3:9" x14ac:dyDescent="0.25">
      <c r="C9" t="s">
        <v>7</v>
      </c>
      <c r="D9" s="5">
        <v>7.3999999999999999E-4</v>
      </c>
      <c r="E9" t="s">
        <v>46</v>
      </c>
      <c r="G9" t="s">
        <v>7</v>
      </c>
      <c r="H9" s="4">
        <f>(101.3*1/(287.05*289.15))*1000</f>
        <v>1.2204744651711921</v>
      </c>
      <c r="I9" t="s">
        <v>45</v>
      </c>
    </row>
    <row r="10" spans="3:9" x14ac:dyDescent="0.25">
      <c r="C10" t="s">
        <v>8</v>
      </c>
      <c r="D10" s="5">
        <v>9.8999999999999999E-4</v>
      </c>
      <c r="E10" t="s">
        <v>46</v>
      </c>
      <c r="G10" t="s">
        <v>8</v>
      </c>
      <c r="H10" s="4">
        <f>(101.3*1/(287.05*294.51))*1000</f>
        <v>1.198262169720044</v>
      </c>
      <c r="I10" t="s">
        <v>45</v>
      </c>
    </row>
    <row r="11" spans="3:9" x14ac:dyDescent="0.25">
      <c r="C11" t="s">
        <v>9</v>
      </c>
      <c r="D11" s="5">
        <v>9.3999999999999997E-4</v>
      </c>
      <c r="E11" t="s">
        <v>46</v>
      </c>
      <c r="G11" t="s">
        <v>9</v>
      </c>
      <c r="H11" s="4">
        <f>(101.3*1/(287.05*288.85))*1000</f>
        <v>1.2217420515985806</v>
      </c>
      <c r="I11" t="s">
        <v>45</v>
      </c>
    </row>
    <row r="12" spans="3:9" x14ac:dyDescent="0.25">
      <c r="C12" t="s">
        <v>10</v>
      </c>
      <c r="D12" s="5">
        <v>9.8999999999999999E-4</v>
      </c>
      <c r="E12" t="s">
        <v>46</v>
      </c>
      <c r="G12" t="s">
        <v>10</v>
      </c>
      <c r="H12" s="4">
        <f>(101.3*1/(287.05*287.65))*1000</f>
        <v>1.226838837490875</v>
      </c>
      <c r="I12" t="s">
        <v>45</v>
      </c>
    </row>
    <row r="13" spans="3:9" x14ac:dyDescent="0.25">
      <c r="C13" t="s">
        <v>11</v>
      </c>
      <c r="D13" s="5">
        <v>8.9999999999999998E-4</v>
      </c>
      <c r="E13" t="s">
        <v>46</v>
      </c>
      <c r="G13" t="s">
        <v>11</v>
      </c>
      <c r="H13" s="4">
        <f>(101.3*1/(287.05*283.75))*1000</f>
        <v>1.2437011157859035</v>
      </c>
      <c r="I13" t="s">
        <v>45</v>
      </c>
    </row>
    <row r="14" spans="3:9" x14ac:dyDescent="0.25">
      <c r="C14" t="s">
        <v>12</v>
      </c>
      <c r="D14" s="5">
        <v>8.4000000000000003E-4</v>
      </c>
      <c r="E14" t="s">
        <v>46</v>
      </c>
      <c r="G14" t="s">
        <v>12</v>
      </c>
      <c r="H14" s="4">
        <f>(101.3*1/(287.05*279.85))*1000</f>
        <v>1.261033380754869</v>
      </c>
      <c r="I14" t="s">
        <v>45</v>
      </c>
    </row>
    <row r="15" spans="3:9" x14ac:dyDescent="0.25">
      <c r="C15" t="s">
        <v>13</v>
      </c>
      <c r="D15" s="5">
        <v>6.0999999999999997E-4</v>
      </c>
      <c r="E15" t="s">
        <v>46</v>
      </c>
      <c r="G15" t="s">
        <v>13</v>
      </c>
      <c r="H15" s="4">
        <f>(101.3*1/(287.05*275.95))*1000</f>
        <v>1.2788555593558621</v>
      </c>
      <c r="I15" t="s">
        <v>45</v>
      </c>
    </row>
    <row r="19" spans="3:4" x14ac:dyDescent="0.25">
      <c r="D19" t="s">
        <v>50</v>
      </c>
    </row>
    <row r="20" spans="3:4" x14ac:dyDescent="0.25">
      <c r="C20" t="s">
        <v>0</v>
      </c>
      <c r="D20" t="s">
        <v>47</v>
      </c>
    </row>
    <row r="21" spans="3:4" x14ac:dyDescent="0.25">
      <c r="C21" t="s">
        <v>2</v>
      </c>
      <c r="D21" s="5">
        <f>D4*H4</f>
        <v>5.8138417068245493E-4</v>
      </c>
    </row>
    <row r="22" spans="3:4" x14ac:dyDescent="0.25">
      <c r="C22" t="s">
        <v>3</v>
      </c>
      <c r="D22" s="5">
        <f t="shared" ref="D22:D32" si="0">D5*H5</f>
        <v>5.1508876716548091E-4</v>
      </c>
    </row>
    <row r="23" spans="3:4" x14ac:dyDescent="0.25">
      <c r="C23" t="s">
        <v>4</v>
      </c>
      <c r="D23" s="5">
        <f t="shared" si="0"/>
        <v>5.3692476172354658E-4</v>
      </c>
    </row>
    <row r="24" spans="3:4" x14ac:dyDescent="0.25">
      <c r="C24" t="s">
        <v>5</v>
      </c>
      <c r="D24" s="5">
        <f t="shared" si="0"/>
        <v>5.6978610821969988E-4</v>
      </c>
    </row>
    <row r="25" spans="3:4" x14ac:dyDescent="0.25">
      <c r="C25" t="s">
        <v>6</v>
      </c>
      <c r="D25" s="5">
        <f t="shared" si="0"/>
        <v>6.9873813703772597E-4</v>
      </c>
    </row>
    <row r="26" spans="3:4" x14ac:dyDescent="0.25">
      <c r="C26" t="s">
        <v>7</v>
      </c>
      <c r="D26" s="5">
        <f t="shared" si="0"/>
        <v>9.0315110422668212E-4</v>
      </c>
    </row>
    <row r="27" spans="3:4" x14ac:dyDescent="0.25">
      <c r="C27" t="s">
        <v>8</v>
      </c>
      <c r="D27" s="5">
        <f t="shared" si="0"/>
        <v>1.1862795480228434E-3</v>
      </c>
    </row>
    <row r="28" spans="3:4" x14ac:dyDescent="0.25">
      <c r="C28" t="s">
        <v>9</v>
      </c>
      <c r="D28" s="5">
        <f t="shared" si="0"/>
        <v>1.1484375285026657E-3</v>
      </c>
    </row>
    <row r="29" spans="3:4" x14ac:dyDescent="0.25">
      <c r="C29" t="s">
        <v>10</v>
      </c>
      <c r="D29" s="5">
        <f t="shared" si="0"/>
        <v>1.2145704491159663E-3</v>
      </c>
    </row>
    <row r="30" spans="3:4" x14ac:dyDescent="0.25">
      <c r="C30" t="s">
        <v>11</v>
      </c>
      <c r="D30" s="5">
        <f t="shared" si="0"/>
        <v>1.1193310042073132E-3</v>
      </c>
    </row>
    <row r="31" spans="3:4" x14ac:dyDescent="0.25">
      <c r="C31" t="s">
        <v>12</v>
      </c>
      <c r="D31" s="5">
        <f t="shared" si="0"/>
        <v>1.0592680398340899E-3</v>
      </c>
    </row>
    <row r="32" spans="3:4" x14ac:dyDescent="0.25">
      <c r="C32" t="s">
        <v>13</v>
      </c>
      <c r="D32" s="5">
        <f t="shared" si="0"/>
        <v>7.8010189120707586E-4</v>
      </c>
    </row>
  </sheetData>
  <sheetProtection algorithmName="SHA-512" hashValue="jRhbSq97TT/VSzxJC01Lq5gGzsAQeMETm+LHCWS0jSnX/WsIP5PVk0+0g2LGLQc1OirxrHcoDwfQQ6CGXqCOxQ==" saltValue="ojLCvjDhkTlSP+ZjvVMa2w==" spinCount="100000" sheet="1" objects="1" scenarios="1"/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EC8B4-A253-4A5E-8218-A8AC27C90288}">
  <sheetPr codeName="Sheet7"/>
  <dimension ref="B3:G27"/>
  <sheetViews>
    <sheetView workbookViewId="0">
      <selection activeCell="H6" sqref="H6"/>
    </sheetView>
  </sheetViews>
  <sheetFormatPr defaultRowHeight="15" x14ac:dyDescent="0.25"/>
  <cols>
    <col min="2" max="2" width="27.85546875" bestFit="1" customWidth="1"/>
    <col min="3" max="3" width="11.85546875" bestFit="1" customWidth="1"/>
    <col min="6" max="6" width="9" customWidth="1"/>
  </cols>
  <sheetData>
    <row r="3" spans="2:5" x14ac:dyDescent="0.25">
      <c r="B3" t="s">
        <v>18</v>
      </c>
      <c r="C3" t="s">
        <v>19</v>
      </c>
      <c r="D3" t="s">
        <v>20</v>
      </c>
      <c r="E3" t="s">
        <v>21</v>
      </c>
    </row>
    <row r="4" spans="2:5" x14ac:dyDescent="0.25">
      <c r="B4" t="s">
        <v>17</v>
      </c>
      <c r="D4">
        <v>1.05</v>
      </c>
      <c r="E4" s="2" t="s">
        <v>75</v>
      </c>
    </row>
    <row r="5" spans="2:5" x14ac:dyDescent="0.25">
      <c r="B5" t="s">
        <v>22</v>
      </c>
      <c r="C5" s="3"/>
      <c r="D5">
        <v>1.2929999999999999</v>
      </c>
      <c r="E5" s="2" t="s">
        <v>23</v>
      </c>
    </row>
    <row r="6" spans="2:5" x14ac:dyDescent="0.25">
      <c r="B6" t="s">
        <v>36</v>
      </c>
      <c r="D6">
        <v>4.218</v>
      </c>
      <c r="E6" t="s">
        <v>75</v>
      </c>
    </row>
    <row r="17" spans="3:7" x14ac:dyDescent="0.25">
      <c r="C17" s="29"/>
      <c r="D17" s="29">
        <v>0.371</v>
      </c>
      <c r="E17" s="29">
        <v>0.371</v>
      </c>
      <c r="F17" s="27"/>
      <c r="G17" s="27"/>
    </row>
    <row r="18" spans="3:7" x14ac:dyDescent="0.25">
      <c r="C18" s="27"/>
      <c r="D18" s="29">
        <v>3.6400000000000001E-4</v>
      </c>
      <c r="E18" s="29">
        <v>3.6400000000000001E-4</v>
      </c>
      <c r="F18" s="27"/>
      <c r="G18" s="27"/>
    </row>
    <row r="19" spans="3:7" x14ac:dyDescent="0.25">
      <c r="C19" s="27"/>
      <c r="D19" s="29">
        <v>6.2E-2</v>
      </c>
      <c r="E19" s="29">
        <v>4.5699999999999998E-2</v>
      </c>
      <c r="F19" s="27"/>
      <c r="G19" s="27"/>
    </row>
    <row r="20" spans="3:7" x14ac:dyDescent="0.25">
      <c r="C20" s="29">
        <f>SUM(D17:D19)</f>
        <v>0.43336399999999997</v>
      </c>
      <c r="D20" s="27"/>
      <c r="E20" s="27"/>
      <c r="F20" s="29">
        <f>SUM(E17:E19)</f>
        <v>0.41706399999999999</v>
      </c>
      <c r="G20" s="27"/>
    </row>
    <row r="21" spans="3:7" x14ac:dyDescent="0.25">
      <c r="C21" s="27"/>
      <c r="D21" s="27"/>
      <c r="E21" s="27"/>
      <c r="F21" s="27"/>
      <c r="G21" s="27"/>
    </row>
    <row r="22" spans="3:7" x14ac:dyDescent="0.25">
      <c r="C22" s="27"/>
      <c r="D22" s="27"/>
      <c r="E22" s="27"/>
      <c r="F22" s="27"/>
      <c r="G22" s="27"/>
    </row>
    <row r="23" spans="3:7" x14ac:dyDescent="0.25">
      <c r="C23" s="30">
        <f>C20</f>
        <v>0.43336399999999997</v>
      </c>
      <c r="D23" s="27"/>
      <c r="E23" s="27"/>
      <c r="F23" s="30">
        <f>F20</f>
        <v>0.41706399999999999</v>
      </c>
      <c r="G23" s="27"/>
    </row>
    <row r="24" spans="3:7" x14ac:dyDescent="0.25">
      <c r="C24" s="27" t="s">
        <v>68</v>
      </c>
      <c r="D24" s="27"/>
      <c r="E24" s="27"/>
      <c r="F24" s="27" t="s">
        <v>69</v>
      </c>
      <c r="G24" s="27"/>
    </row>
    <row r="27" spans="3:7" x14ac:dyDescent="0.25">
      <c r="C27" s="5"/>
    </row>
  </sheetData>
  <sheetProtection algorithmName="SHA-512" hashValue="DF0wUzkW1aVsDWaY6o1TbkV+OgVuvq9bJ0Z1kBxUWdlkwz9M+qXxFz7I90/0ziGBTmoSYVb6y4wwSoESWafj1g==" saltValue="88UnKLnJixy3ufMunqmo7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3d8ee5-84a0-422d-a733-65caefe3eba2" xsi:nil="true"/>
    <lcf76f155ced4ddcb4097134ff3c332f xmlns="a6653cbf-5d9a-4124-9af7-3b7ed76fd73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6F52A2C482CE408F1B649929CAE72E" ma:contentTypeVersion="16" ma:contentTypeDescription="Create a new document." ma:contentTypeScope="" ma:versionID="a90c10cc4e8e8da4ac4500187e685ada">
  <xsd:schema xmlns:xsd="http://www.w3.org/2001/XMLSchema" xmlns:xs="http://www.w3.org/2001/XMLSchema" xmlns:p="http://schemas.microsoft.com/office/2006/metadata/properties" xmlns:ns2="a6653cbf-5d9a-4124-9af7-3b7ed76fd73e" xmlns:ns3="283d8ee5-84a0-422d-a733-65caefe3eba2" targetNamespace="http://schemas.microsoft.com/office/2006/metadata/properties" ma:root="true" ma:fieldsID="a15282ef11ade0b78426f86efb58f7fc" ns2:_="" ns3:_="">
    <xsd:import namespace="a6653cbf-5d9a-4124-9af7-3b7ed76fd73e"/>
    <xsd:import namespace="283d8ee5-84a0-422d-a733-65caefe3eb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53cbf-5d9a-4124-9af7-3b7ed76fd7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9a1aa8b-45ba-4c1f-9bf7-a6b7c7138e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d8ee5-84a0-422d-a733-65caefe3eba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c981507-02be-48c8-9a6a-0cf33b8b6677}" ma:internalName="TaxCatchAll" ma:showField="CatchAllData" ma:web="283d8ee5-84a0-422d-a733-65caefe3eb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A9669F-6ED0-4702-AAF9-C9A26979F0B3}">
  <ds:schemaRefs>
    <ds:schemaRef ds:uri="http://schemas.microsoft.com/office/2006/metadata/properties"/>
    <ds:schemaRef ds:uri="http://schemas.microsoft.com/office/infopath/2007/PartnerControls"/>
    <ds:schemaRef ds:uri="283d8ee5-84a0-422d-a733-65caefe3eba2"/>
    <ds:schemaRef ds:uri="a6653cbf-5d9a-4124-9af7-3b7ed76fd73e"/>
  </ds:schemaRefs>
</ds:datastoreItem>
</file>

<file path=customXml/itemProps2.xml><?xml version="1.0" encoding="utf-8"?>
<ds:datastoreItem xmlns:ds="http://schemas.openxmlformats.org/officeDocument/2006/customXml" ds:itemID="{27364347-8FAD-4CBC-9D92-00880FE850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653cbf-5d9a-4124-9af7-3b7ed76fd73e"/>
    <ds:schemaRef ds:uri="283d8ee5-84a0-422d-a733-65caefe3eb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844B83-CCFF-4A6E-A459-20A6C31577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CO2 Beregner</vt:lpstr>
      <vt:lpstr>Oversigt</vt:lpstr>
      <vt:lpstr>Luftfugtighed</vt:lpstr>
      <vt:lpstr>Vindhastighed</vt:lpstr>
      <vt:lpstr>Temperaturer</vt:lpstr>
      <vt:lpstr>Egenskaber</vt:lpstr>
      <vt:lpstr>Kendte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Duus</dc:creator>
  <cp:lastModifiedBy>Jacob Eriksen</cp:lastModifiedBy>
  <dcterms:created xsi:type="dcterms:W3CDTF">2023-01-06T11:45:31Z</dcterms:created>
  <dcterms:modified xsi:type="dcterms:W3CDTF">2023-03-10T06:23:23Z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0x0101002F6F52A2C482CE408F1B649929CAE72E</vt:lpwstr>
  </property>
  <property fmtid="{D5CDD505-2E9C-101B-9397-08002B2CF9AE}" pid="3" name="MediaServiceImageTags">
    <vt:lpwstr/>
  </property>
</Properties>
</file>